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-90" yWindow="-165" windowWidth="12120" windowHeight="9090"/>
  </bookViews>
  <sheets>
    <sheet name="Table 79 - Trend in Out of Stat" sheetId="1" r:id="rId1"/>
    <sheet name="79Pivot" sheetId="3" r:id="rId2"/>
    <sheet name="79data" sheetId="2" r:id="rId3"/>
    <sheet name="80pivot" sheetId="5" r:id="rId4"/>
    <sheet name="80data" sheetId="4" r:id="rId5"/>
  </sheets>
  <definedNames>
    <definedName name="_xlnm.Print_Area" localSheetId="0">'Table 79 - Trend in Out of Stat'!$A$1:$AM$113</definedName>
  </definedNames>
  <calcPr calcId="125725" calcMode="autoNoTable" iterate="1" iterateCount="1" iterateDelta="0"/>
  <pivotCaches>
    <pivotCache cacheId="62" r:id="rId6"/>
    <pivotCache cacheId="67" r:id="rId7"/>
  </pivotCaches>
</workbook>
</file>

<file path=xl/calcChain.xml><?xml version="1.0" encoding="utf-8"?>
<calcChain xmlns="http://schemas.openxmlformats.org/spreadsheetml/2006/main">
  <c r="P106" i="1"/>
  <c r="M106"/>
  <c r="N106"/>
  <c r="O106"/>
  <c r="L106"/>
  <c r="P104"/>
  <c r="M104"/>
  <c r="N104"/>
  <c r="O104"/>
  <c r="L104"/>
  <c r="P98"/>
  <c r="P103"/>
  <c r="M103"/>
  <c r="L103"/>
  <c r="P99"/>
  <c r="P100"/>
  <c r="P101"/>
  <c r="P102"/>
  <c r="O98"/>
  <c r="N98"/>
  <c r="M98"/>
  <c r="L98"/>
  <c r="P94"/>
  <c r="M94"/>
  <c r="N94"/>
  <c r="O94"/>
  <c r="L94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M72"/>
  <c r="N72"/>
  <c r="O72"/>
  <c r="M73"/>
  <c r="N73"/>
  <c r="O73"/>
  <c r="M74"/>
  <c r="N74"/>
  <c r="O74"/>
  <c r="M75"/>
  <c r="N75"/>
  <c r="O75"/>
  <c r="M76"/>
  <c r="N76"/>
  <c r="O76"/>
  <c r="M77"/>
  <c r="N77"/>
  <c r="O77"/>
  <c r="M78"/>
  <c r="N78"/>
  <c r="O78"/>
  <c r="M79"/>
  <c r="N79"/>
  <c r="O79"/>
  <c r="M80"/>
  <c r="N80"/>
  <c r="O80"/>
  <c r="M81"/>
  <c r="N81"/>
  <c r="O81"/>
  <c r="M82"/>
  <c r="N82"/>
  <c r="O82"/>
  <c r="M83"/>
  <c r="N83"/>
  <c r="O83"/>
  <c r="M84"/>
  <c r="N84"/>
  <c r="O84"/>
  <c r="M85"/>
  <c r="N85"/>
  <c r="O85"/>
  <c r="M86"/>
  <c r="N86"/>
  <c r="O86"/>
  <c r="M87"/>
  <c r="N87"/>
  <c r="O87"/>
  <c r="M88"/>
  <c r="N88"/>
  <c r="O88"/>
  <c r="M89"/>
  <c r="N89"/>
  <c r="O89"/>
  <c r="M90"/>
  <c r="N90"/>
  <c r="O90"/>
  <c r="M91"/>
  <c r="N91"/>
  <c r="O91"/>
  <c r="M92"/>
  <c r="N92"/>
  <c r="O92"/>
  <c r="M93"/>
  <c r="N93"/>
  <c r="O93"/>
  <c r="M71"/>
  <c r="N71"/>
  <c r="O71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P70"/>
  <c r="N70"/>
  <c r="O70"/>
  <c r="M70"/>
  <c r="L70"/>
  <c r="P52"/>
  <c r="D52"/>
  <c r="E52"/>
  <c r="F52"/>
  <c r="G52"/>
  <c r="H52"/>
  <c r="I52"/>
  <c r="J52"/>
  <c r="K52"/>
  <c r="L52"/>
  <c r="M52"/>
  <c r="N52"/>
  <c r="O52"/>
  <c r="C52"/>
  <c r="P50"/>
  <c r="D50"/>
  <c r="E50"/>
  <c r="F50"/>
  <c r="G50"/>
  <c r="H50"/>
  <c r="I50"/>
  <c r="J50"/>
  <c r="K50"/>
  <c r="L50"/>
  <c r="M50"/>
  <c r="N50"/>
  <c r="O50"/>
  <c r="C50"/>
  <c r="P39"/>
  <c r="P40"/>
  <c r="P41"/>
  <c r="P42"/>
  <c r="P43"/>
  <c r="P44"/>
  <c r="P45"/>
  <c r="P46"/>
  <c r="P47"/>
  <c r="P48"/>
  <c r="P49"/>
  <c r="P38"/>
  <c r="P29"/>
  <c r="P30"/>
  <c r="P31"/>
  <c r="P32"/>
  <c r="P33"/>
  <c r="P34"/>
  <c r="P35"/>
  <c r="P36"/>
  <c r="D29"/>
  <c r="E29"/>
  <c r="F29"/>
  <c r="G29"/>
  <c r="H29"/>
  <c r="I29"/>
  <c r="J29"/>
  <c r="K29"/>
  <c r="L29"/>
  <c r="M29"/>
  <c r="N29"/>
  <c r="O29"/>
  <c r="D30"/>
  <c r="E30"/>
  <c r="F30"/>
  <c r="G30"/>
  <c r="H30"/>
  <c r="I30"/>
  <c r="J30"/>
  <c r="K30"/>
  <c r="L30"/>
  <c r="M30"/>
  <c r="N30"/>
  <c r="O30"/>
  <c r="D31"/>
  <c r="E31"/>
  <c r="F31"/>
  <c r="G31"/>
  <c r="H31"/>
  <c r="I31"/>
  <c r="J31"/>
  <c r="K31"/>
  <c r="L31"/>
  <c r="M31"/>
  <c r="N31"/>
  <c r="O31"/>
  <c r="D32"/>
  <c r="E32"/>
  <c r="F32"/>
  <c r="G32"/>
  <c r="H32"/>
  <c r="I32"/>
  <c r="J32"/>
  <c r="K32"/>
  <c r="L32"/>
  <c r="M32"/>
  <c r="N32"/>
  <c r="O32"/>
  <c r="D33"/>
  <c r="E33"/>
  <c r="F33"/>
  <c r="G33"/>
  <c r="H33"/>
  <c r="I33"/>
  <c r="J33"/>
  <c r="K33"/>
  <c r="L33"/>
  <c r="M33"/>
  <c r="N33"/>
  <c r="O33"/>
  <c r="D34"/>
  <c r="E34"/>
  <c r="F34"/>
  <c r="G34"/>
  <c r="H34"/>
  <c r="I34"/>
  <c r="J34"/>
  <c r="K34"/>
  <c r="L34"/>
  <c r="M34"/>
  <c r="N34"/>
  <c r="O34"/>
  <c r="D35"/>
  <c r="E35"/>
  <c r="F35"/>
  <c r="G35"/>
  <c r="H35"/>
  <c r="I35"/>
  <c r="J35"/>
  <c r="K35"/>
  <c r="L35"/>
  <c r="M35"/>
  <c r="N35"/>
  <c r="O35"/>
  <c r="D36"/>
  <c r="E36"/>
  <c r="F36"/>
  <c r="G36"/>
  <c r="H36"/>
  <c r="I36"/>
  <c r="J36"/>
  <c r="K36"/>
  <c r="L36"/>
  <c r="M36"/>
  <c r="N36"/>
  <c r="O36"/>
  <c r="D38"/>
  <c r="E38"/>
  <c r="F38"/>
  <c r="G38"/>
  <c r="H38"/>
  <c r="I38"/>
  <c r="J38"/>
  <c r="K38"/>
  <c r="L38"/>
  <c r="M38"/>
  <c r="N38"/>
  <c r="O38"/>
  <c r="D39"/>
  <c r="E39"/>
  <c r="F39"/>
  <c r="G39"/>
  <c r="H39"/>
  <c r="I39"/>
  <c r="J39"/>
  <c r="K39"/>
  <c r="L39"/>
  <c r="M39"/>
  <c r="N39"/>
  <c r="O39"/>
  <c r="D40"/>
  <c r="E40"/>
  <c r="F40"/>
  <c r="G40"/>
  <c r="H40"/>
  <c r="I40"/>
  <c r="J40"/>
  <c r="K40"/>
  <c r="L40"/>
  <c r="M40"/>
  <c r="N40"/>
  <c r="O40"/>
  <c r="D41"/>
  <c r="E41"/>
  <c r="F41"/>
  <c r="G41"/>
  <c r="H41"/>
  <c r="I41"/>
  <c r="J41"/>
  <c r="K41"/>
  <c r="L41"/>
  <c r="M41"/>
  <c r="N41"/>
  <c r="O41"/>
  <c r="D42"/>
  <c r="E42"/>
  <c r="F42"/>
  <c r="G42"/>
  <c r="H42"/>
  <c r="I42"/>
  <c r="J42"/>
  <c r="K42"/>
  <c r="L42"/>
  <c r="M42"/>
  <c r="N42"/>
  <c r="O42"/>
  <c r="D43"/>
  <c r="E43"/>
  <c r="F43"/>
  <c r="G43"/>
  <c r="H43"/>
  <c r="I43"/>
  <c r="J43"/>
  <c r="K43"/>
  <c r="L43"/>
  <c r="M43"/>
  <c r="N43"/>
  <c r="O43"/>
  <c r="D44"/>
  <c r="E44"/>
  <c r="F44"/>
  <c r="G44"/>
  <c r="H44"/>
  <c r="I44"/>
  <c r="J44"/>
  <c r="K44"/>
  <c r="L44"/>
  <c r="M44"/>
  <c r="N44"/>
  <c r="O44"/>
  <c r="D45"/>
  <c r="E45"/>
  <c r="F45"/>
  <c r="G45"/>
  <c r="H45"/>
  <c r="I45"/>
  <c r="J45"/>
  <c r="K45"/>
  <c r="L45"/>
  <c r="M45"/>
  <c r="N45"/>
  <c r="O45"/>
  <c r="D46"/>
  <c r="E46"/>
  <c r="F46"/>
  <c r="G46"/>
  <c r="H46"/>
  <c r="I46"/>
  <c r="J46"/>
  <c r="K46"/>
  <c r="L46"/>
  <c r="M46"/>
  <c r="N46"/>
  <c r="O46"/>
  <c r="D47"/>
  <c r="E47"/>
  <c r="F47"/>
  <c r="G47"/>
  <c r="H47"/>
  <c r="I47"/>
  <c r="J47"/>
  <c r="K47"/>
  <c r="L47"/>
  <c r="M47"/>
  <c r="N47"/>
  <c r="O47"/>
  <c r="D48"/>
  <c r="E48"/>
  <c r="F48"/>
  <c r="G48"/>
  <c r="H48"/>
  <c r="I48"/>
  <c r="J48"/>
  <c r="K48"/>
  <c r="L48"/>
  <c r="M48"/>
  <c r="N48"/>
  <c r="O48"/>
  <c r="D49"/>
  <c r="E49"/>
  <c r="F49"/>
  <c r="G49"/>
  <c r="H49"/>
  <c r="I49"/>
  <c r="J49"/>
  <c r="K49"/>
  <c r="L49"/>
  <c r="M49"/>
  <c r="N49"/>
  <c r="O49"/>
  <c r="C39"/>
  <c r="C40"/>
  <c r="C41"/>
  <c r="C42"/>
  <c r="C43"/>
  <c r="C44"/>
  <c r="C45"/>
  <c r="C46"/>
  <c r="C47"/>
  <c r="C48"/>
  <c r="C49"/>
  <c r="C38"/>
  <c r="C29"/>
  <c r="C30"/>
  <c r="C31"/>
  <c r="C32"/>
  <c r="C33"/>
  <c r="C34"/>
  <c r="C35"/>
  <c r="C36"/>
  <c r="P28"/>
  <c r="D28"/>
  <c r="E28"/>
  <c r="F28"/>
  <c r="G28"/>
  <c r="H28"/>
  <c r="I28"/>
  <c r="J28"/>
  <c r="K28"/>
  <c r="L28"/>
  <c r="M28"/>
  <c r="N28"/>
  <c r="O28"/>
  <c r="C28"/>
  <c r="P24"/>
  <c r="D24"/>
  <c r="E24"/>
  <c r="F24"/>
  <c r="G24"/>
  <c r="H24"/>
  <c r="I24"/>
  <c r="J24"/>
  <c r="K24"/>
  <c r="L24"/>
  <c r="M24"/>
  <c r="N24"/>
  <c r="O24"/>
  <c r="C24"/>
  <c r="D12"/>
  <c r="E12"/>
  <c r="F12"/>
  <c r="G12"/>
  <c r="H12"/>
  <c r="I12"/>
  <c r="J12"/>
  <c r="K12"/>
  <c r="L12"/>
  <c r="M12"/>
  <c r="N12"/>
  <c r="O12"/>
  <c r="P12"/>
  <c r="D13"/>
  <c r="E13"/>
  <c r="F13"/>
  <c r="G13"/>
  <c r="H13"/>
  <c r="I13"/>
  <c r="J13"/>
  <c r="K13"/>
  <c r="L13"/>
  <c r="M13"/>
  <c r="N13"/>
  <c r="O13"/>
  <c r="P13"/>
  <c r="D14"/>
  <c r="E14"/>
  <c r="F14"/>
  <c r="G14"/>
  <c r="H14"/>
  <c r="I14"/>
  <c r="J14"/>
  <c r="K14"/>
  <c r="L14"/>
  <c r="M14"/>
  <c r="N14"/>
  <c r="O14"/>
  <c r="P14"/>
  <c r="D15"/>
  <c r="E15"/>
  <c r="F15"/>
  <c r="G15"/>
  <c r="H15"/>
  <c r="I15"/>
  <c r="J15"/>
  <c r="K15"/>
  <c r="L15"/>
  <c r="M15"/>
  <c r="N15"/>
  <c r="O15"/>
  <c r="P15"/>
  <c r="D16"/>
  <c r="E16"/>
  <c r="F16"/>
  <c r="G16"/>
  <c r="H16"/>
  <c r="I16"/>
  <c r="J16"/>
  <c r="K16"/>
  <c r="L16"/>
  <c r="M16"/>
  <c r="N16"/>
  <c r="O16"/>
  <c r="P16"/>
  <c r="D17"/>
  <c r="E17"/>
  <c r="F17"/>
  <c r="G17"/>
  <c r="H17"/>
  <c r="I17"/>
  <c r="J17"/>
  <c r="K17"/>
  <c r="L17"/>
  <c r="M17"/>
  <c r="N17"/>
  <c r="O17"/>
  <c r="P17"/>
  <c r="D18"/>
  <c r="E18"/>
  <c r="F18"/>
  <c r="G18"/>
  <c r="H18"/>
  <c r="I18"/>
  <c r="J18"/>
  <c r="K18"/>
  <c r="L18"/>
  <c r="M18"/>
  <c r="N18"/>
  <c r="O18"/>
  <c r="P18"/>
  <c r="D19"/>
  <c r="E19"/>
  <c r="F19"/>
  <c r="G19"/>
  <c r="H19"/>
  <c r="I19"/>
  <c r="J19"/>
  <c r="K19"/>
  <c r="L19"/>
  <c r="M19"/>
  <c r="N19"/>
  <c r="O19"/>
  <c r="P19"/>
  <c r="D20"/>
  <c r="E20"/>
  <c r="F20"/>
  <c r="G20"/>
  <c r="H20"/>
  <c r="I20"/>
  <c r="J20"/>
  <c r="K20"/>
  <c r="L20"/>
  <c r="M20"/>
  <c r="N20"/>
  <c r="O20"/>
  <c r="P20"/>
  <c r="D21"/>
  <c r="E21"/>
  <c r="F21"/>
  <c r="G21"/>
  <c r="H21"/>
  <c r="I21"/>
  <c r="J21"/>
  <c r="K21"/>
  <c r="L21"/>
  <c r="M21"/>
  <c r="N21"/>
  <c r="O21"/>
  <c r="P21"/>
  <c r="D22"/>
  <c r="E22"/>
  <c r="F22"/>
  <c r="G22"/>
  <c r="H22"/>
  <c r="I22"/>
  <c r="J22"/>
  <c r="K22"/>
  <c r="L22"/>
  <c r="M22"/>
  <c r="N22"/>
  <c r="O22"/>
  <c r="P22"/>
  <c r="D23"/>
  <c r="E23"/>
  <c r="F23"/>
  <c r="G23"/>
  <c r="H23"/>
  <c r="I23"/>
  <c r="J23"/>
  <c r="K23"/>
  <c r="L23"/>
  <c r="M23"/>
  <c r="N23"/>
  <c r="O23"/>
  <c r="P23"/>
  <c r="C12"/>
  <c r="C13"/>
  <c r="C14"/>
  <c r="C15"/>
  <c r="C16"/>
  <c r="C17"/>
  <c r="C18"/>
  <c r="C19"/>
  <c r="C20"/>
  <c r="C21"/>
  <c r="C22"/>
  <c r="C23"/>
  <c r="E11"/>
  <c r="F11"/>
  <c r="G11"/>
  <c r="H11"/>
  <c r="I11"/>
  <c r="J11"/>
  <c r="K11"/>
  <c r="L11"/>
  <c r="M11"/>
  <c r="N11"/>
  <c r="O11"/>
  <c r="P11"/>
  <c r="D11"/>
  <c r="C11"/>
  <c r="O108"/>
  <c r="N108"/>
  <c r="AJ24"/>
  <c r="AK24"/>
  <c r="AL24"/>
  <c r="AJ52"/>
  <c r="AK50"/>
  <c r="AL50"/>
  <c r="AL104" l="1"/>
  <c r="AK104"/>
  <c r="AK94" l="1"/>
  <c r="AL94"/>
  <c r="AL106" s="1"/>
  <c r="R70"/>
  <c r="S70"/>
  <c r="T70"/>
  <c r="U70"/>
  <c r="V70"/>
  <c r="W70"/>
  <c r="H70" s="1"/>
  <c r="AK106" l="1"/>
  <c r="AL52" l="1"/>
  <c r="AL108" s="1"/>
  <c r="AK52"/>
  <c r="AK108" l="1"/>
  <c r="Q12" l="1"/>
  <c r="Q15"/>
  <c r="Q17"/>
  <c r="Q18"/>
  <c r="Q22"/>
  <c r="Q34"/>
  <c r="Q35"/>
  <c r="Q36"/>
  <c r="Q39"/>
  <c r="Q44"/>
  <c r="Q45"/>
  <c r="Q24" l="1"/>
  <c r="N102"/>
  <c r="N101"/>
  <c r="N100"/>
  <c r="N99"/>
  <c r="AI24" l="1"/>
  <c r="AH24"/>
  <c r="AI50"/>
  <c r="AI104"/>
  <c r="AI94"/>
  <c r="AI106" l="1"/>
  <c r="AI52"/>
  <c r="AI108" s="1"/>
  <c r="AJ104"/>
  <c r="AJ94"/>
  <c r="AJ50"/>
  <c r="AJ106" l="1"/>
  <c r="AJ108" l="1"/>
  <c r="L99" l="1"/>
  <c r="L100"/>
  <c r="L101"/>
  <c r="L102"/>
  <c r="AF104"/>
  <c r="AF94"/>
  <c r="AF106" s="1"/>
  <c r="AE94"/>
  <c r="AF50"/>
  <c r="AF24"/>
  <c r="AG24"/>
  <c r="M99"/>
  <c r="M100"/>
  <c r="M101"/>
  <c r="M102"/>
  <c r="AH104"/>
  <c r="AG104"/>
  <c r="AH94"/>
  <c r="AG94"/>
  <c r="AH50"/>
  <c r="AH52" s="1"/>
  <c r="AG50"/>
  <c r="AD29"/>
  <c r="AD30"/>
  <c r="AD39"/>
  <c r="AD40"/>
  <c r="AD42"/>
  <c r="AD43"/>
  <c r="AD44"/>
  <c r="AD45"/>
  <c r="AD46"/>
  <c r="AD48"/>
  <c r="AE50"/>
  <c r="AE24"/>
  <c r="AE104"/>
  <c r="AD12"/>
  <c r="AD14"/>
  <c r="AD17"/>
  <c r="AD18"/>
  <c r="AD19"/>
  <c r="AD21"/>
  <c r="AD22"/>
  <c r="AD72"/>
  <c r="AD74"/>
  <c r="AD80"/>
  <c r="AD82"/>
  <c r="AD84"/>
  <c r="AD86"/>
  <c r="AD87"/>
  <c r="AD89"/>
  <c r="AD90"/>
  <c r="AD104"/>
  <c r="AC30"/>
  <c r="AC42"/>
  <c r="AC45"/>
  <c r="AC46"/>
  <c r="AC49"/>
  <c r="AC11"/>
  <c r="AC12"/>
  <c r="AC13"/>
  <c r="AC14"/>
  <c r="AC15"/>
  <c r="AC16"/>
  <c r="AC17"/>
  <c r="AC18"/>
  <c r="AC19"/>
  <c r="AC20"/>
  <c r="AC21"/>
  <c r="AC22"/>
  <c r="AC23"/>
  <c r="AC70"/>
  <c r="K70" s="1"/>
  <c r="AC73"/>
  <c r="K73" s="1"/>
  <c r="AC74"/>
  <c r="AC75"/>
  <c r="K75" s="1"/>
  <c r="AC76"/>
  <c r="K76" s="1"/>
  <c r="AC77"/>
  <c r="K77" s="1"/>
  <c r="AC78"/>
  <c r="K78" s="1"/>
  <c r="AC79"/>
  <c r="K79" s="1"/>
  <c r="AC80"/>
  <c r="K80" s="1"/>
  <c r="AC81"/>
  <c r="K81" s="1"/>
  <c r="AC82"/>
  <c r="AC83"/>
  <c r="K83" s="1"/>
  <c r="AC84"/>
  <c r="K84" s="1"/>
  <c r="AC85"/>
  <c r="K85" s="1"/>
  <c r="AC86"/>
  <c r="AC87"/>
  <c r="K87" s="1"/>
  <c r="AC88"/>
  <c r="K88" s="1"/>
  <c r="AC89"/>
  <c r="K89" s="1"/>
  <c r="AC90"/>
  <c r="K90" s="1"/>
  <c r="AC91"/>
  <c r="K91" s="1"/>
  <c r="AC93"/>
  <c r="K93" s="1"/>
  <c r="AC103"/>
  <c r="AC104" s="1"/>
  <c r="K104" s="1"/>
  <c r="K98"/>
  <c r="K72"/>
  <c r="K92"/>
  <c r="AA15"/>
  <c r="AB15"/>
  <c r="AA81"/>
  <c r="J81" s="1"/>
  <c r="AB40"/>
  <c r="AA14"/>
  <c r="AB14"/>
  <c r="AB17"/>
  <c r="AA17"/>
  <c r="AA98"/>
  <c r="J98" s="1"/>
  <c r="AA18"/>
  <c r="AB18"/>
  <c r="AA13"/>
  <c r="AA12"/>
  <c r="AA20"/>
  <c r="AA22"/>
  <c r="AB22"/>
  <c r="AA21"/>
  <c r="AB21"/>
  <c r="AA11"/>
  <c r="AA23"/>
  <c r="AA19"/>
  <c r="AA89"/>
  <c r="AB89"/>
  <c r="AA85"/>
  <c r="AA91"/>
  <c r="J91" s="1"/>
  <c r="AA70"/>
  <c r="AB70"/>
  <c r="AA77"/>
  <c r="AA79"/>
  <c r="J79" s="1"/>
  <c r="AA86"/>
  <c r="AB86"/>
  <c r="AA72"/>
  <c r="AB72"/>
  <c r="AA103"/>
  <c r="AA92"/>
  <c r="AB92"/>
  <c r="AA93"/>
  <c r="J93" s="1"/>
  <c r="AB90"/>
  <c r="J90" s="1"/>
  <c r="AA73"/>
  <c r="AB73"/>
  <c r="AA82"/>
  <c r="AB82"/>
  <c r="AA80"/>
  <c r="AB80"/>
  <c r="AA78"/>
  <c r="J78" s="1"/>
  <c r="AA76"/>
  <c r="J76" s="1"/>
  <c r="AA74"/>
  <c r="Y76"/>
  <c r="AB74"/>
  <c r="AB104"/>
  <c r="AB30"/>
  <c r="AB39"/>
  <c r="AB48"/>
  <c r="AB43"/>
  <c r="AB44"/>
  <c r="AB45"/>
  <c r="AB46"/>
  <c r="AA75"/>
  <c r="J75" s="1"/>
  <c r="AA84"/>
  <c r="J84" s="1"/>
  <c r="AA28"/>
  <c r="AA30"/>
  <c r="AA39"/>
  <c r="AA41"/>
  <c r="AA42"/>
  <c r="AA48"/>
  <c r="AA45"/>
  <c r="AA46"/>
  <c r="AA49"/>
  <c r="J88"/>
  <c r="J87"/>
  <c r="J85"/>
  <c r="J77"/>
  <c r="Z46"/>
  <c r="Y46"/>
  <c r="Z45"/>
  <c r="Y45"/>
  <c r="Z44"/>
  <c r="Y44"/>
  <c r="Z39"/>
  <c r="Z11"/>
  <c r="Z17"/>
  <c r="Z18"/>
  <c r="Z19"/>
  <c r="Z21"/>
  <c r="Y20"/>
  <c r="Y11"/>
  <c r="Y12"/>
  <c r="Y13"/>
  <c r="Y16"/>
  <c r="Y17"/>
  <c r="Y18"/>
  <c r="Y14"/>
  <c r="Y19"/>
  <c r="Y21"/>
  <c r="Y22"/>
  <c r="Y15"/>
  <c r="Y23"/>
  <c r="Z48"/>
  <c r="Y48"/>
  <c r="Z31"/>
  <c r="Z29"/>
  <c r="Z40"/>
  <c r="Y28"/>
  <c r="Z103"/>
  <c r="Y103"/>
  <c r="Z84"/>
  <c r="Y84"/>
  <c r="Z73"/>
  <c r="Y73"/>
  <c r="Z89"/>
  <c r="Y89"/>
  <c r="Z30"/>
  <c r="Y30"/>
  <c r="Y41"/>
  <c r="Y42"/>
  <c r="Y49"/>
  <c r="Y81"/>
  <c r="Y93"/>
  <c r="I93" s="1"/>
  <c r="Z87"/>
  <c r="Y87"/>
  <c r="Y83"/>
  <c r="Z72"/>
  <c r="Y72"/>
  <c r="Z76"/>
  <c r="I76" s="1"/>
  <c r="Z90"/>
  <c r="Y74"/>
  <c r="I74" s="1"/>
  <c r="Z82"/>
  <c r="Y82"/>
  <c r="Z86"/>
  <c r="Y86"/>
  <c r="Y85"/>
  <c r="Z80"/>
  <c r="Y80"/>
  <c r="Z79"/>
  <c r="Y79"/>
  <c r="Y91"/>
  <c r="I91" s="1"/>
  <c r="Y70"/>
  <c r="I70" s="1"/>
  <c r="Z98"/>
  <c r="Y98"/>
  <c r="Y75"/>
  <c r="I75" s="1"/>
  <c r="Y77"/>
  <c r="I77" s="1"/>
  <c r="Y78"/>
  <c r="I78" s="1"/>
  <c r="W72"/>
  <c r="W73"/>
  <c r="W74"/>
  <c r="W75"/>
  <c r="H75" s="1"/>
  <c r="W76"/>
  <c r="W77"/>
  <c r="H77" s="1"/>
  <c r="W78"/>
  <c r="W79"/>
  <c r="W80"/>
  <c r="W81"/>
  <c r="H81" s="1"/>
  <c r="W82"/>
  <c r="W83"/>
  <c r="H83" s="1"/>
  <c r="W84"/>
  <c r="W85"/>
  <c r="H85" s="1"/>
  <c r="W86"/>
  <c r="W87"/>
  <c r="H87" s="1"/>
  <c r="W88"/>
  <c r="W89"/>
  <c r="W90"/>
  <c r="W91"/>
  <c r="W93"/>
  <c r="W98"/>
  <c r="W104" s="1"/>
  <c r="Y104"/>
  <c r="I92"/>
  <c r="I90"/>
  <c r="I88"/>
  <c r="I85"/>
  <c r="I83"/>
  <c r="I81"/>
  <c r="X79"/>
  <c r="X80"/>
  <c r="H80" s="1"/>
  <c r="X89"/>
  <c r="X72"/>
  <c r="X44"/>
  <c r="W44"/>
  <c r="W45"/>
  <c r="X45"/>
  <c r="W46"/>
  <c r="W13"/>
  <c r="W28"/>
  <c r="X104"/>
  <c r="X73"/>
  <c r="X74"/>
  <c r="H74" s="1"/>
  <c r="X82"/>
  <c r="H82" s="1"/>
  <c r="X86"/>
  <c r="H86" s="1"/>
  <c r="X88"/>
  <c r="H88" s="1"/>
  <c r="X90"/>
  <c r="H90" s="1"/>
  <c r="X91"/>
  <c r="X92"/>
  <c r="H92" s="1"/>
  <c r="X30"/>
  <c r="X31"/>
  <c r="X34"/>
  <c r="X36"/>
  <c r="X20"/>
  <c r="X11"/>
  <c r="X16"/>
  <c r="X17"/>
  <c r="W35"/>
  <c r="W34"/>
  <c r="W23"/>
  <c r="W22"/>
  <c r="W21"/>
  <c r="W17"/>
  <c r="W20"/>
  <c r="W11"/>
  <c r="W36"/>
  <c r="W42"/>
  <c r="W19"/>
  <c r="W14"/>
  <c r="W12"/>
  <c r="W40"/>
  <c r="W16"/>
  <c r="H103"/>
  <c r="H93"/>
  <c r="H84"/>
  <c r="H78"/>
  <c r="H76"/>
  <c r="H72"/>
  <c r="R20"/>
  <c r="S20"/>
  <c r="T20"/>
  <c r="U20"/>
  <c r="V20"/>
  <c r="R11"/>
  <c r="S11"/>
  <c r="T11"/>
  <c r="U11"/>
  <c r="V11"/>
  <c r="R12"/>
  <c r="S12"/>
  <c r="T12"/>
  <c r="U12"/>
  <c r="V12"/>
  <c r="R13"/>
  <c r="S13"/>
  <c r="T13"/>
  <c r="U13"/>
  <c r="V13"/>
  <c r="R16"/>
  <c r="S16"/>
  <c r="T16"/>
  <c r="U16"/>
  <c r="V16"/>
  <c r="R17"/>
  <c r="S17"/>
  <c r="T17"/>
  <c r="U17"/>
  <c r="V17"/>
  <c r="R18"/>
  <c r="S18"/>
  <c r="T18"/>
  <c r="U18"/>
  <c r="V18"/>
  <c r="R14"/>
  <c r="S14"/>
  <c r="T14"/>
  <c r="U14"/>
  <c r="V14"/>
  <c r="R19"/>
  <c r="S19"/>
  <c r="T19"/>
  <c r="U19"/>
  <c r="V19"/>
  <c r="R21"/>
  <c r="S21"/>
  <c r="T21"/>
  <c r="U21"/>
  <c r="V21"/>
  <c r="R22"/>
  <c r="S22"/>
  <c r="T22"/>
  <c r="U22"/>
  <c r="V22"/>
  <c r="R15"/>
  <c r="S15"/>
  <c r="T15"/>
  <c r="U15"/>
  <c r="V15"/>
  <c r="R23"/>
  <c r="S23"/>
  <c r="T23"/>
  <c r="U23"/>
  <c r="V23"/>
  <c r="R28"/>
  <c r="S28"/>
  <c r="T28"/>
  <c r="U28"/>
  <c r="V28"/>
  <c r="T29"/>
  <c r="S30"/>
  <c r="T30"/>
  <c r="V30"/>
  <c r="R31"/>
  <c r="S31"/>
  <c r="V32"/>
  <c r="S34"/>
  <c r="T34"/>
  <c r="V34"/>
  <c r="R35"/>
  <c r="S35"/>
  <c r="T35"/>
  <c r="U35"/>
  <c r="V35"/>
  <c r="R36"/>
  <c r="S36"/>
  <c r="T36"/>
  <c r="U36"/>
  <c r="V36"/>
  <c r="S38"/>
  <c r="V38"/>
  <c r="R39"/>
  <c r="S39"/>
  <c r="T39"/>
  <c r="U39"/>
  <c r="V39"/>
  <c r="R41"/>
  <c r="S41"/>
  <c r="V41"/>
  <c r="R42"/>
  <c r="S42"/>
  <c r="T42"/>
  <c r="U42"/>
  <c r="V42"/>
  <c r="U48"/>
  <c r="V48"/>
  <c r="R44"/>
  <c r="S44"/>
  <c r="T44"/>
  <c r="U44"/>
  <c r="V44"/>
  <c r="R45"/>
  <c r="S45"/>
  <c r="T45"/>
  <c r="U45"/>
  <c r="V45"/>
  <c r="R46"/>
  <c r="S46"/>
  <c r="T46"/>
  <c r="U46"/>
  <c r="V46"/>
  <c r="T40"/>
  <c r="U40"/>
  <c r="V49"/>
  <c r="Q50"/>
  <c r="Q52" s="1"/>
  <c r="R72"/>
  <c r="S72"/>
  <c r="U72"/>
  <c r="V72"/>
  <c r="R73"/>
  <c r="S73"/>
  <c r="T73"/>
  <c r="U73"/>
  <c r="V73"/>
  <c r="R74"/>
  <c r="S74"/>
  <c r="T74"/>
  <c r="U74"/>
  <c r="V74"/>
  <c r="R75"/>
  <c r="S75"/>
  <c r="T75"/>
  <c r="U75"/>
  <c r="V75"/>
  <c r="Q76"/>
  <c r="R76"/>
  <c r="S76"/>
  <c r="T76"/>
  <c r="U76"/>
  <c r="V76"/>
  <c r="Q77"/>
  <c r="R77"/>
  <c r="T77"/>
  <c r="U77"/>
  <c r="V77"/>
  <c r="R78"/>
  <c r="S78"/>
  <c r="T78"/>
  <c r="U78"/>
  <c r="V78"/>
  <c r="R79"/>
  <c r="S79"/>
  <c r="T79"/>
  <c r="U79"/>
  <c r="V79"/>
  <c r="R80"/>
  <c r="S80"/>
  <c r="T80"/>
  <c r="U80"/>
  <c r="V80"/>
  <c r="R81"/>
  <c r="S81"/>
  <c r="T81"/>
  <c r="U81"/>
  <c r="V81"/>
  <c r="R82"/>
  <c r="S82"/>
  <c r="U82"/>
  <c r="V82"/>
  <c r="R83"/>
  <c r="S83"/>
  <c r="T83"/>
  <c r="U83"/>
  <c r="V83"/>
  <c r="T84"/>
  <c r="U84"/>
  <c r="V84"/>
  <c r="R85"/>
  <c r="S85"/>
  <c r="T85"/>
  <c r="U85"/>
  <c r="V85"/>
  <c r="Q86"/>
  <c r="R86"/>
  <c r="S86"/>
  <c r="T86"/>
  <c r="U86"/>
  <c r="V86"/>
  <c r="Q87"/>
  <c r="R87"/>
  <c r="S87"/>
  <c r="T87"/>
  <c r="U87"/>
  <c r="V87"/>
  <c r="R88"/>
  <c r="S88"/>
  <c r="T88"/>
  <c r="U88"/>
  <c r="V88"/>
  <c r="Q89"/>
  <c r="R89"/>
  <c r="S89"/>
  <c r="T89"/>
  <c r="U89"/>
  <c r="V89"/>
  <c r="T90"/>
  <c r="U90"/>
  <c r="V90"/>
  <c r="R91"/>
  <c r="S91"/>
  <c r="T91"/>
  <c r="U91"/>
  <c r="V91"/>
  <c r="R92"/>
  <c r="S92"/>
  <c r="T92"/>
  <c r="U92"/>
  <c r="V92"/>
  <c r="R93"/>
  <c r="S93"/>
  <c r="T93"/>
  <c r="U93"/>
  <c r="V93"/>
  <c r="R98"/>
  <c r="S98"/>
  <c r="T98"/>
  <c r="T104" s="1"/>
  <c r="U98"/>
  <c r="V98"/>
  <c r="R99"/>
  <c r="S99"/>
  <c r="U103"/>
  <c r="V103"/>
  <c r="Q104"/>
  <c r="AD50" l="1"/>
  <c r="U104"/>
  <c r="J70"/>
  <c r="I79"/>
  <c r="I72"/>
  <c r="I87"/>
  <c r="I89"/>
  <c r="I103"/>
  <c r="J74"/>
  <c r="S104"/>
  <c r="AC50"/>
  <c r="AD94"/>
  <c r="AD106" s="1"/>
  <c r="H98"/>
  <c r="J92"/>
  <c r="AA104"/>
  <c r="J104" s="1"/>
  <c r="J72"/>
  <c r="J86"/>
  <c r="AD24"/>
  <c r="AD52" s="1"/>
  <c r="AD108" s="1"/>
  <c r="J103"/>
  <c r="AC24"/>
  <c r="AH106"/>
  <c r="AH108" s="1"/>
  <c r="T94"/>
  <c r="T106" s="1"/>
  <c r="S24"/>
  <c r="Z94"/>
  <c r="AA50"/>
  <c r="AB94"/>
  <c r="AB106" s="1"/>
  <c r="AA24"/>
  <c r="AB24"/>
  <c r="U50"/>
  <c r="W24"/>
  <c r="W94"/>
  <c r="W106" s="1"/>
  <c r="I98"/>
  <c r="I80"/>
  <c r="I86"/>
  <c r="Z50"/>
  <c r="I73"/>
  <c r="I84"/>
  <c r="J80"/>
  <c r="J82"/>
  <c r="J89"/>
  <c r="K103"/>
  <c r="K86"/>
  <c r="K82"/>
  <c r="K74"/>
  <c r="AF52"/>
  <c r="AF108" s="1"/>
  <c r="V104"/>
  <c r="V94"/>
  <c r="R94"/>
  <c r="S50"/>
  <c r="U24"/>
  <c r="X24"/>
  <c r="Q94"/>
  <c r="Q106" s="1"/>
  <c r="Q108" s="1"/>
  <c r="S94"/>
  <c r="V50"/>
  <c r="T50"/>
  <c r="R50"/>
  <c r="X50"/>
  <c r="X94"/>
  <c r="X106" s="1"/>
  <c r="Y94"/>
  <c r="Y50"/>
  <c r="Z24"/>
  <c r="Z52" s="1"/>
  <c r="AA94"/>
  <c r="AC94"/>
  <c r="AC106" s="1"/>
  <c r="U94"/>
  <c r="U106" s="1"/>
  <c r="R104"/>
  <c r="R106" s="1"/>
  <c r="V24"/>
  <c r="T24"/>
  <c r="R24"/>
  <c r="H104"/>
  <c r="W50"/>
  <c r="W52" s="1"/>
  <c r="W108" s="1"/>
  <c r="Z104"/>
  <c r="I104" s="1"/>
  <c r="H91"/>
  <c r="H89"/>
  <c r="H79"/>
  <c r="H73"/>
  <c r="Y24"/>
  <c r="AB50"/>
  <c r="AB52" s="1"/>
  <c r="AB108" s="1"/>
  <c r="AC52"/>
  <c r="I94"/>
  <c r="Y106"/>
  <c r="AA106"/>
  <c r="I82"/>
  <c r="J73"/>
  <c r="AE106"/>
  <c r="AE52"/>
  <c r="AG106"/>
  <c r="AG52"/>
  <c r="T52" l="1"/>
  <c r="U52"/>
  <c r="S52"/>
  <c r="V106"/>
  <c r="K94"/>
  <c r="H94"/>
  <c r="X52"/>
  <c r="X108" s="1"/>
  <c r="H108" s="1"/>
  <c r="S106"/>
  <c r="Y52"/>
  <c r="R52"/>
  <c r="R108" s="1"/>
  <c r="V52"/>
  <c r="U108"/>
  <c r="J94"/>
  <c r="T108"/>
  <c r="AA52"/>
  <c r="Z106"/>
  <c r="Z108" s="1"/>
  <c r="AG108"/>
  <c r="M108" s="1"/>
  <c r="AE108"/>
  <c r="L108" s="1"/>
  <c r="AC108"/>
  <c r="K108" s="1"/>
  <c r="K106"/>
  <c r="J106"/>
  <c r="H106"/>
  <c r="S108" l="1"/>
  <c r="V108"/>
  <c r="I106"/>
  <c r="Y108"/>
  <c r="I108" s="1"/>
  <c r="AA108"/>
  <c r="J108" s="1"/>
</calcChain>
</file>

<file path=xl/sharedStrings.xml><?xml version="1.0" encoding="utf-8"?>
<sst xmlns="http://schemas.openxmlformats.org/spreadsheetml/2006/main" count="1786" uniqueCount="174">
  <si>
    <t xml:space="preserve">HISTORICAL TREND IN OUT-OF-STATE UNDERGRADUATE ENROLLMENT AT PUBLIC INSTITUTIONS, </t>
  </si>
  <si>
    <t xml:space="preserve">NUMBER OF OUT-OF-STATE </t>
  </si>
  <si>
    <t>AS A % OF TOTAL</t>
  </si>
  <si>
    <t>UNDERGRADUATE STUDENTS</t>
  </si>
  <si>
    <t>FALL</t>
  </si>
  <si>
    <t>1981</t>
  </si>
  <si>
    <t>1997</t>
  </si>
  <si>
    <t>1998</t>
  </si>
  <si>
    <t>1999</t>
  </si>
  <si>
    <t>2000</t>
  </si>
  <si>
    <t>2001</t>
  </si>
  <si>
    <t>PUBLIC BACCALAUREATE AND HIGHER DEGREE-GRANTING INSTITUTIONS</t>
  </si>
  <si>
    <t xml:space="preserve"> 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</si>
  <si>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</si>
  <si>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</si>
  <si>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</si>
  <si>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</si>
  <si>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</si>
  <si>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</si>
  <si>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</si>
  <si>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</si>
  <si>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</si>
  <si>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</si>
  <si>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</si>
  <si>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</si>
  <si>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</si>
  <si>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</si>
  <si>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</si>
  <si>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</si>
  <si>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N/A</t>
  </si>
  <si>
    <t>METRO CC - BLUE RIVER</t>
  </si>
  <si>
    <t>--</t>
  </si>
  <si>
    <t>METRO CC - LONGVIEW</t>
  </si>
  <si>
    <t>METRO CC - MAPLE WOODS</t>
  </si>
  <si>
    <t>METRO CC - PENN VALLEY</t>
  </si>
  <si>
    <t>METRO CC - PIONEER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</si>
  <si>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</si>
  <si>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</si>
  <si>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</si>
  <si>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</si>
  <si>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</si>
  <si>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</si>
  <si>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</si>
  <si>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</si>
  <si>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</si>
  <si>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</si>
  <si>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</si>
  <si>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N/A indicates that data are not available.</t>
  </si>
  <si>
    <t>-- indicates that the institution was not or is no longer open.</t>
  </si>
  <si>
    <t>SOURCE:  DHE07-1, Geographic Origin of Undergraduate Students</t>
  </si>
  <si>
    <t xml:space="preserve">HISTORICAL TREND IN OUT-OF-STATE UNDERGRADUATE ENROLLMENT AT PRIVATE NOT-FOR-PROFIT ( INDEPENDENT) </t>
  </si>
  <si>
    <t>PRIVATE NOT-FOR-PROFIT (INDEPENDENT) BACCALAUREATE AND HIGHER DEGREE-GRANTING INSTITUTIONS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</si>
  <si>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</si>
  <si>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</si>
  <si>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</si>
  <si>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</si>
  <si>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</si>
  <si>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</si>
  <si>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</si>
  <si>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</si>
  <si>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</si>
  <si>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</si>
  <si>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</si>
  <si>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</si>
  <si>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</si>
  <si>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</si>
  <si>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</si>
  <si>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</si>
  <si>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</si>
  <si>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</si>
  <si>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</si>
  <si>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</si>
  <si>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</si>
  <si>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</si>
  <si>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</si>
  <si>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</si>
  <si>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KEMPER</t>
  </si>
  <si>
    <t>*</t>
  </si>
  <si>
    <t>NORTHWEST MISSOURI CC</t>
  </si>
  <si>
    <t>ST. MARY'S</t>
  </si>
  <si>
    <t>ST. PAUL'S</t>
  </si>
  <si>
    <t>WENTWORTH</t>
  </si>
  <si>
    <t>PRIVATE NOT-FOR-PROFIT (INDEPENDENT) TOTAL</t>
  </si>
  <si>
    <t>STATE TOTAL</t>
  </si>
  <si>
    <t>*No longer offers postsecondary programs</t>
  </si>
  <si>
    <t xml:space="preserve">FALL </t>
  </si>
  <si>
    <t>METRO CC - BUS. &amp; TECH.</t>
  </si>
  <si>
    <t>TABLE 79</t>
  </si>
  <si>
    <t>TABLE 80</t>
  </si>
  <si>
    <t>SOURCE:  Enhanced Missouri Student Achievement Study</t>
  </si>
  <si>
    <t xml:space="preserve"> FALL</t>
  </si>
  <si>
    <t>MSU- WEST PLAINS</t>
  </si>
  <si>
    <t>MISSOURI STATE</t>
  </si>
  <si>
    <t>UCM</t>
  </si>
  <si>
    <t>CENTRAL METHODIST-CLAS</t>
  </si>
  <si>
    <t>MISSOURI UNV. OF SCI. &amp; TECH.</t>
  </si>
  <si>
    <t>ST. LOUIS CC - WILDWOOD</t>
  </si>
  <si>
    <t>NA</t>
  </si>
  <si>
    <t>Total</t>
  </si>
  <si>
    <r>
      <t xml:space="preserve">OUT-OF-STATE UNDERGRADUATES </t>
    </r>
    <r>
      <rPr>
        <vertAlign val="superscript"/>
        <sz val="8"/>
        <color indexed="8"/>
        <rFont val="Times New Roman"/>
        <family val="1"/>
      </rPr>
      <t>1</t>
    </r>
  </si>
  <si>
    <t>1 - "Out-of-State" is defined as students from other states besides Missouri, foreign countries and US Territories. Students for which geographic origin is unknown are not included.</t>
  </si>
  <si>
    <t>ficename</t>
  </si>
  <si>
    <t>sector</t>
  </si>
  <si>
    <t>CALYEAR</t>
  </si>
  <si>
    <t>Other Students</t>
  </si>
  <si>
    <t>MO Residents</t>
  </si>
  <si>
    <t>Out-of-State</t>
  </si>
  <si>
    <t>Total Undergraduates</t>
  </si>
  <si>
    <t>perinstate</t>
  </si>
  <si>
    <t>peroutstate</t>
  </si>
  <si>
    <t>perother</t>
  </si>
  <si>
    <t>2Y</t>
  </si>
  <si>
    <t>MCCKC LV</t>
  </si>
  <si>
    <t>MCCKC MW</t>
  </si>
  <si>
    <t>MCCKC PV</t>
  </si>
  <si>
    <t>MINERAL</t>
  </si>
  <si>
    <t>MO STATE WP</t>
  </si>
  <si>
    <t>NCMO</t>
  </si>
  <si>
    <t>OTC</t>
  </si>
  <si>
    <t>ST CHARLES</t>
  </si>
  <si>
    <t>STLCC FV</t>
  </si>
  <si>
    <t>STLCC FP</t>
  </si>
  <si>
    <t>STLCC MC</t>
  </si>
  <si>
    <t>HSSU</t>
  </si>
  <si>
    <t>4Y</t>
  </si>
  <si>
    <t>MSSU</t>
  </si>
  <si>
    <t>MO STATE</t>
  </si>
  <si>
    <t>MO S&amp;T</t>
  </si>
  <si>
    <t>MWSU</t>
  </si>
  <si>
    <t>NWMSU</t>
  </si>
  <si>
    <t>SEMO</t>
  </si>
  <si>
    <t>UCMO</t>
  </si>
  <si>
    <t>MCCKC BR</t>
  </si>
  <si>
    <t>MCCKC B&amp;T</t>
  </si>
  <si>
    <t>STLCC WW</t>
  </si>
  <si>
    <t>_Sector Subtotal</t>
  </si>
  <si>
    <t>State Total</t>
  </si>
  <si>
    <t>St</t>
  </si>
  <si>
    <t>Column Labels</t>
  </si>
  <si>
    <t>Grand Total</t>
  </si>
  <si>
    <t>Row Labels</t>
  </si>
  <si>
    <t>Sum of peroutstate</t>
  </si>
  <si>
    <t>FALL 1981, FALL 2003-FALL 2010</t>
  </si>
  <si>
    <t>INSTITUTIONS, FALL 1981, FALL 2003-FALL 2010</t>
  </si>
  <si>
    <t>Sector</t>
  </si>
  <si>
    <t>I2</t>
  </si>
  <si>
    <t>Cottey College</t>
  </si>
  <si>
    <t>Wentworth Military Academy</t>
  </si>
  <si>
    <t>I4</t>
  </si>
  <si>
    <t>Avila University</t>
  </si>
  <si>
    <t>Central Methodist University-College of Graduate &amp; Extended Studies</t>
  </si>
  <si>
    <t>Central Methodist University-College of Liberal Arts &amp; Sciences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</si>
  <si>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</si>
  <si>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</si>
  <si>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</si>
  <si>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</si>
  <si>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</si>
  <si>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</si>
  <si>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Hannibal-Lagrange College</t>
  </si>
  <si>
    <t>Lindenwood University</t>
  </si>
  <si>
    <t>Maryville University of Saint Louis</t>
  </si>
  <si>
    <t>Missouri Baptist University</t>
  </si>
  <si>
    <t>Missouri Valley College</t>
  </si>
  <si>
    <t>Park University</t>
  </si>
  <si>
    <t>Rockhurst University</t>
  </si>
  <si>
    <t>Saint Louis University-Main Campus</t>
  </si>
  <si>
    <t>Southwest Baptist University</t>
  </si>
  <si>
    <t>Stephens College</t>
  </si>
  <si>
    <t>Washington University in St Louis</t>
  </si>
  <si>
    <t>Webster University</t>
  </si>
  <si>
    <t>Westminster College</t>
  </si>
  <si>
    <t>William Jewell College</t>
  </si>
  <si>
    <t>William Woods University</t>
  </si>
  <si>
    <t>CENTRAL METHODIST-CGES</t>
  </si>
</sst>
</file>

<file path=xl/styles.xml><?xml version="1.0" encoding="utf-8"?>
<styleSheet xmlns="http://schemas.openxmlformats.org/spreadsheetml/2006/main">
  <fonts count="8">
    <font>
      <sz val="7"/>
      <name val="TMS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color indexed="8"/>
      <name val="Times New Roman"/>
      <family val="1"/>
    </font>
    <font>
      <u/>
      <sz val="8"/>
      <color indexed="8"/>
      <name val="Times New Roman"/>
      <family val="1"/>
    </font>
    <font>
      <u/>
      <sz val="8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 applyNumberFormat="1" applyFont="1" applyAlignment="1" applyProtection="1">
      <protection locked="0"/>
    </xf>
    <xf numFmtId="0" fontId="2" fillId="2" borderId="0" xfId="0" applyNumberFormat="1" applyFont="1" applyFill="1" applyBorder="1" applyAlignment="1"/>
    <xf numFmtId="0" fontId="3" fillId="2" borderId="0" xfId="0" applyNumberFormat="1" applyFont="1" applyFill="1" applyBorder="1" applyAlignment="1"/>
    <xf numFmtId="0" fontId="3" fillId="2" borderId="0" xfId="0" applyNumberFormat="1" applyFont="1" applyFill="1" applyBorder="1" applyAlignment="1">
      <alignment horizontal="centerContinuous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1" xfId="0" applyNumberFormat="1" applyFont="1" applyFill="1" applyBorder="1" applyAlignment="1"/>
    <xf numFmtId="0" fontId="3" fillId="2" borderId="2" xfId="0" applyNumberFormat="1" applyFont="1" applyFill="1" applyBorder="1" applyAlignment="1"/>
    <xf numFmtId="9" fontId="3" fillId="2" borderId="2" xfId="0" applyNumberFormat="1" applyFont="1" applyFill="1" applyBorder="1" applyAlignment="1"/>
    <xf numFmtId="9" fontId="3" fillId="2" borderId="0" xfId="0" applyNumberFormat="1" applyFont="1" applyFill="1" applyBorder="1" applyAlignment="1"/>
    <xf numFmtId="9" fontId="3" fillId="2" borderId="2" xfId="0" applyNumberFormat="1" applyFont="1" applyFill="1" applyBorder="1" applyAlignment="1">
      <alignment horizontal="right"/>
    </xf>
    <xf numFmtId="9" fontId="3" fillId="2" borderId="0" xfId="0" applyNumberFormat="1" applyFont="1" applyFill="1" applyBorder="1" applyAlignment="1">
      <alignment horizontal="right"/>
    </xf>
    <xf numFmtId="9" fontId="3" fillId="2" borderId="0" xfId="0" quotePrefix="1" applyNumberFormat="1" applyFont="1" applyFill="1" applyBorder="1" applyAlignment="1">
      <alignment horizontal="right"/>
    </xf>
    <xf numFmtId="9" fontId="3" fillId="2" borderId="3" xfId="0" applyNumberFormat="1" applyFont="1" applyFill="1" applyBorder="1" applyAlignment="1"/>
    <xf numFmtId="9" fontId="2" fillId="2" borderId="0" xfId="0" applyNumberFormat="1" applyFont="1" applyFill="1" applyBorder="1" applyAlignment="1"/>
    <xf numFmtId="0" fontId="2" fillId="2" borderId="0" xfId="0" applyNumberFormat="1" applyFont="1" applyFill="1" applyBorder="1" applyAlignment="1">
      <alignment horizontal="centerContinuous"/>
    </xf>
    <xf numFmtId="0" fontId="2" fillId="2" borderId="0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/>
    <xf numFmtId="3" fontId="3" fillId="2" borderId="0" xfId="0" applyNumberFormat="1" applyFont="1" applyFill="1" applyBorder="1" applyAlignment="1"/>
    <xf numFmtId="0" fontId="2" fillId="2" borderId="0" xfId="0" applyFont="1" applyFill="1" applyBorder="1" applyAlignment="1"/>
    <xf numFmtId="3" fontId="2" fillId="2" borderId="0" xfId="0" applyNumberFormat="1" applyFont="1" applyFill="1" applyBorder="1" applyAlignment="1"/>
    <xf numFmtId="0" fontId="2" fillId="2" borderId="0" xfId="0" applyNumberFormat="1" applyFont="1" applyFill="1" applyBorder="1" applyAlignment="1" applyProtection="1">
      <protection locked="0"/>
    </xf>
    <xf numFmtId="3" fontId="2" fillId="2" borderId="0" xfId="0" applyNumberFormat="1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left" wrapText="1"/>
    </xf>
    <xf numFmtId="0" fontId="2" fillId="2" borderId="0" xfId="0" applyNumberFormat="1" applyFont="1" applyFill="1" applyBorder="1"/>
    <xf numFmtId="0" fontId="2" fillId="2" borderId="5" xfId="0" applyNumberFormat="1" applyFont="1" applyFill="1" applyBorder="1" applyAlignment="1"/>
    <xf numFmtId="9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0" fontId="3" fillId="2" borderId="2" xfId="0" applyNumberFormat="1" applyFont="1" applyFill="1" applyBorder="1" applyAlignment="1">
      <alignment horizontal="centerContinuous"/>
    </xf>
    <xf numFmtId="0" fontId="3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right"/>
    </xf>
    <xf numFmtId="9" fontId="3" fillId="2" borderId="6" xfId="0" applyNumberFormat="1" applyFont="1" applyFill="1" applyBorder="1" applyAlignment="1"/>
    <xf numFmtId="9" fontId="3" fillId="2" borderId="1" xfId="0" applyNumberFormat="1" applyFont="1" applyFill="1" applyBorder="1" applyAlignment="1"/>
    <xf numFmtId="3" fontId="3" fillId="2" borderId="1" xfId="0" applyNumberFormat="1" applyFont="1" applyFill="1" applyBorder="1" applyAlignment="1"/>
    <xf numFmtId="3" fontId="2" fillId="2" borderId="1" xfId="0" applyNumberFormat="1" applyFont="1" applyFill="1" applyBorder="1" applyAlignment="1"/>
    <xf numFmtId="0" fontId="3" fillId="2" borderId="7" xfId="0" applyNumberFormat="1" applyFont="1" applyFill="1" applyBorder="1" applyAlignment="1">
      <alignment horizontal="centerContinuous"/>
    </xf>
    <xf numFmtId="0" fontId="3" fillId="2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7" xfId="0" applyNumberFormat="1" applyFont="1" applyFill="1" applyBorder="1" applyAlignment="1"/>
    <xf numFmtId="9" fontId="3" fillId="2" borderId="7" xfId="0" applyNumberFormat="1" applyFont="1" applyFill="1" applyBorder="1" applyAlignment="1"/>
    <xf numFmtId="9" fontId="3" fillId="2" borderId="8" xfId="0" applyNumberFormat="1" applyFont="1" applyFill="1" applyBorder="1" applyAlignment="1"/>
    <xf numFmtId="9" fontId="3" fillId="2" borderId="9" xfId="0" applyNumberFormat="1" applyFont="1" applyFill="1" applyBorder="1" applyAlignment="1"/>
    <xf numFmtId="0" fontId="3" fillId="2" borderId="10" xfId="0" applyNumberFormat="1" applyFont="1" applyFill="1" applyBorder="1" applyAlignment="1"/>
    <xf numFmtId="0" fontId="2" fillId="2" borderId="11" xfId="0" applyNumberFormat="1" applyFont="1" applyFill="1" applyBorder="1" applyAlignment="1"/>
    <xf numFmtId="9" fontId="3" fillId="2" borderId="11" xfId="0" applyNumberFormat="1" applyFont="1" applyFill="1" applyBorder="1" applyAlignment="1"/>
    <xf numFmtId="3" fontId="3" fillId="2" borderId="11" xfId="0" applyNumberFormat="1" applyFont="1" applyFill="1" applyBorder="1" applyAlignment="1"/>
    <xf numFmtId="3" fontId="2" fillId="2" borderId="11" xfId="0" applyNumberFormat="1" applyFont="1" applyFill="1" applyBorder="1" applyAlignment="1"/>
    <xf numFmtId="0" fontId="3" fillId="2" borderId="11" xfId="0" applyNumberFormat="1" applyFont="1" applyFill="1" applyBorder="1" applyAlignment="1"/>
    <xf numFmtId="0" fontId="2" fillId="2" borderId="0" xfId="0" applyNumberFormat="1" applyFont="1" applyFill="1" applyBorder="1" applyAlignment="1">
      <alignment horizontal="right"/>
    </xf>
    <xf numFmtId="0" fontId="2" fillId="2" borderId="11" xfId="0" applyNumberFormat="1" applyFont="1" applyFill="1" applyBorder="1" applyAlignment="1">
      <alignment horizontal="right"/>
    </xf>
    <xf numFmtId="0" fontId="2" fillId="2" borderId="5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right"/>
    </xf>
    <xf numFmtId="0" fontId="2" fillId="3" borderId="0" xfId="0" applyNumberFormat="1" applyFont="1" applyFill="1" applyBorder="1" applyAlignment="1"/>
    <xf numFmtId="0" fontId="2" fillId="3" borderId="11" xfId="0" applyNumberFormat="1" applyFont="1" applyFill="1" applyBorder="1" applyAlignment="1"/>
    <xf numFmtId="0" fontId="2" fillId="3" borderId="0" xfId="0" applyNumberFormat="1" applyFont="1" applyFill="1" applyBorder="1" applyAlignment="1">
      <alignment horizontal="centerContinuous"/>
    </xf>
    <xf numFmtId="0" fontId="2" fillId="3" borderId="0" xfId="0" applyNumberFormat="1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/>
    <xf numFmtId="3" fontId="2" fillId="3" borderId="0" xfId="0" applyNumberFormat="1" applyFont="1" applyFill="1" applyBorder="1" applyAlignment="1">
      <alignment horizontal="right"/>
    </xf>
    <xf numFmtId="9" fontId="3" fillId="3" borderId="0" xfId="0" applyNumberFormat="1" applyFont="1" applyFill="1" applyBorder="1" applyAlignment="1">
      <alignment horizontal="right"/>
    </xf>
    <xf numFmtId="3" fontId="2" fillId="3" borderId="11" xfId="0" applyNumberFormat="1" applyFont="1" applyFill="1" applyBorder="1" applyAlignment="1"/>
    <xf numFmtId="3" fontId="2" fillId="3" borderId="1" xfId="0" applyNumberFormat="1" applyFont="1" applyFill="1" applyBorder="1" applyAlignment="1"/>
    <xf numFmtId="0" fontId="2" fillId="3" borderId="5" xfId="0" applyNumberFormat="1" applyFont="1" applyFill="1" applyBorder="1" applyAlignment="1"/>
    <xf numFmtId="0" fontId="2" fillId="3" borderId="1" xfId="0" applyNumberFormat="1" applyFont="1" applyFill="1" applyBorder="1" applyAlignment="1"/>
    <xf numFmtId="0" fontId="3" fillId="3" borderId="0" xfId="0" applyNumberFormat="1" applyFont="1" applyFill="1" applyBorder="1" applyAlignment="1">
      <alignment horizontal="centerContinuous"/>
    </xf>
    <xf numFmtId="3" fontId="2" fillId="3" borderId="0" xfId="0" applyNumberFormat="1" applyFont="1" applyFill="1" applyBorder="1" applyAlignment="1">
      <alignment horizontal="centerContinuous"/>
    </xf>
    <xf numFmtId="3" fontId="2" fillId="3" borderId="5" xfId="0" applyNumberFormat="1" applyFont="1" applyFill="1" applyBorder="1" applyAlignment="1"/>
    <xf numFmtId="1" fontId="2" fillId="3" borderId="0" xfId="0" applyNumberFormat="1" applyFont="1" applyFill="1" applyBorder="1" applyAlignment="1"/>
    <xf numFmtId="0" fontId="3" fillId="3" borderId="7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3" borderId="12" xfId="0" applyNumberFormat="1" applyFont="1" applyFill="1" applyBorder="1" applyAlignment="1"/>
    <xf numFmtId="1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9" fontId="3" fillId="0" borderId="2" xfId="0" applyNumberFormat="1" applyFont="1" applyFill="1" applyBorder="1" applyAlignment="1"/>
    <xf numFmtId="3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 applyProtection="1">
      <protection locked="0"/>
    </xf>
    <xf numFmtId="0" fontId="2" fillId="3" borderId="0" xfId="0" applyNumberFormat="1" applyFont="1" applyFill="1" applyBorder="1" applyAlignment="1" applyProtection="1">
      <protection locked="0"/>
    </xf>
    <xf numFmtId="0" fontId="2" fillId="3" borderId="0" xfId="0" applyNumberFormat="1" applyFont="1" applyFill="1" applyBorder="1" applyAlignment="1">
      <alignment horizontal="left"/>
    </xf>
    <xf numFmtId="0" fontId="6" fillId="2" borderId="0" xfId="1" applyFont="1" applyFill="1" applyAlignment="1">
      <alignment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14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top" wrapText="1"/>
    </xf>
    <xf numFmtId="0" fontId="0" fillId="0" borderId="0" xfId="0"/>
    <xf numFmtId="0" fontId="0" fillId="0" borderId="0" xfId="0" pivotButton="1" applyNumberFormat="1" applyFont="1" applyAlignment="1" applyProtection="1"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left" indent="1"/>
      <protection locked="0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chamber" refreshedDate="40778.621855439815" createdVersion="3" refreshedVersion="3" minRefreshableVersion="3" recordCount="527">
  <cacheSource type="worksheet">
    <worksheetSource ref="A1:J528" sheet="79data"/>
  </cacheSource>
  <cacheFields count="10">
    <cacheField name="ficename" numFmtId="0">
      <sharedItems count="36">
        <s v="CROWDER"/>
        <s v="EAST CENTRAL"/>
        <s v="JEFFERSON"/>
        <s v="MCCKC LV"/>
        <s v="MCCKC MW"/>
        <s v="MCCKC PV"/>
        <s v="MINERAL"/>
        <s v="MOBERLY"/>
        <s v="MO STATE WP"/>
        <s v="NCMO"/>
        <s v="OTC"/>
        <s v="ST CHARLES"/>
        <s v="STLCC FV"/>
        <s v="STLCC FP"/>
        <s v="STLCC MC"/>
        <s v="STATE FAIR"/>
        <s v="THREE RIVERS"/>
        <s v="HSSU"/>
        <s v="LINCOLN"/>
        <s v="MSSU"/>
        <s v="MO STATE"/>
        <s v="MO S&amp;T"/>
        <s v="MWSU"/>
        <s v="NWMSU"/>
        <s v="SEMO"/>
        <s v="TRUMAN"/>
        <s v="UCMO"/>
        <s v="UMC"/>
        <s v="UMKC"/>
        <s v="UMSL"/>
        <s v="LINN STATE"/>
        <s v="MCCKC BR"/>
        <s v="MCCKC B&amp;T"/>
        <s v="STLCC WW"/>
        <s v="_Sector Subtotal"/>
        <s v="State Total"/>
      </sharedItems>
    </cacheField>
    <cacheField name="sector" numFmtId="0">
      <sharedItems count="3">
        <s v="2Y"/>
        <s v="4Y"/>
        <s v="St"/>
      </sharedItems>
    </cacheField>
    <cacheField name="CALYEAR" numFmtId="0">
      <sharedItems containsSemiMixedTypes="0" containsString="0" containsNumber="1" containsInteger="1" minValue="1996" maxValue="2010" count="15"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</sharedItems>
    </cacheField>
    <cacheField name="Other Students" numFmtId="0">
      <sharedItems containsSemiMixedTypes="0" containsString="0" containsNumber="1" containsInteger="1" minValue="0" maxValue="9177"/>
    </cacheField>
    <cacheField name="MO Residents" numFmtId="0">
      <sharedItems containsString="0" containsBlank="1" containsNumber="1" containsInteger="1" minValue="89" maxValue="201304"/>
    </cacheField>
    <cacheField name="Out-of-State" numFmtId="0">
      <sharedItems containsString="0" containsBlank="1" containsNumber="1" containsInteger="1" minValue="0" maxValue="14562"/>
    </cacheField>
    <cacheField name="Total Undergraduates" numFmtId="0">
      <sharedItems containsSemiMixedTypes="0" containsString="0" containsNumber="1" containsInteger="1" minValue="356" maxValue="219511"/>
    </cacheField>
    <cacheField name="perinstate" numFmtId="0">
      <sharedItems containsString="0" containsBlank="1" containsNumber="1" minValue="2.5070422500000002E-2" maxValue="1"/>
    </cacheField>
    <cacheField name="peroutstate" numFmtId="0">
      <sharedItems containsString="0" containsBlank="1" containsNumber="1" minValue="0" maxValue="0.23849643549999999"/>
    </cacheField>
    <cacheField name="perother" numFmtId="0">
      <sharedItems containsSemiMixedTypes="0" containsString="0" containsNumber="1" minValue="0" maxValue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chamber" refreshedDate="40778.630729282406" createdVersion="3" refreshedVersion="3" minRefreshableVersion="3" recordCount="143">
  <cacheSource type="worksheet">
    <worksheetSource ref="A1:J144" sheet="80data"/>
  </cacheSource>
  <cacheFields count="10">
    <cacheField name="CALYEAR" numFmtId="0">
      <sharedItems containsSemiMixedTypes="0" containsString="0" containsNumber="1" containsInteger="1" minValue="2006" maxValue="2010" count="5">
        <n v="2006"/>
        <n v="2007"/>
        <n v="2008"/>
        <n v="2009"/>
        <n v="2010"/>
      </sharedItems>
    </cacheField>
    <cacheField name="Sector" numFmtId="0">
      <sharedItems count="3">
        <s v="I2"/>
        <s v="I4"/>
        <s v="St"/>
      </sharedItems>
    </cacheField>
    <cacheField name="ficename" numFmtId="0">
      <sharedItems count="28">
        <s v="Cottey College"/>
        <s v="Wentworth Military Academy"/>
        <s v="Avila University"/>
        <s v="Central Methodist University-College of Graduate &amp; Extended Studies"/>
        <s v="Central Methodist University-College of Liberal Arts &amp; Sciences"/>
        <s v="College of the Ozarks"/>
        <s v="Columbia College"/>
        <s v="Culver-Stockton College"/>
        <s v="Drury University"/>
        <s v="Evangel University"/>
        <s v="Fontbonne University"/>
        <s v="Hannibal-Lagrange College"/>
        <s v="Lindenwood University"/>
        <s v="Maryville University of Saint Louis"/>
        <s v="Missouri Baptist University"/>
        <s v="Missouri Valley College"/>
        <s v="Park University"/>
        <s v="Rockhurst University"/>
        <s v="Saint Louis University-Main Campus"/>
        <s v="Southwest Baptist University"/>
        <s v="Stephens College"/>
        <s v="Washington University in St Louis"/>
        <s v="Webster University"/>
        <s v="Westminster College"/>
        <s v="William Jewell College"/>
        <s v="William Woods University"/>
        <s v="_Sector Subtotal"/>
        <s v="State Total"/>
      </sharedItems>
    </cacheField>
    <cacheField name="Other Students" numFmtId="0">
      <sharedItems containsSemiMixedTypes="0" containsString="0" containsNumber="1" containsInteger="1" minValue="0" maxValue="6544"/>
    </cacheField>
    <cacheField name="MO Residents" numFmtId="0">
      <sharedItems containsSemiMixedTypes="0" containsString="0" containsNumber="1" containsInteger="1" minValue="34" maxValue="51666"/>
    </cacheField>
    <cacheField name="Out-of-State" numFmtId="0">
      <sharedItems containsSemiMixedTypes="0" containsString="0" containsNumber="1" containsInteger="1" minValue="0" maxValue="35814"/>
    </cacheField>
    <cacheField name="Total Undergraduates" numFmtId="0">
      <sharedItems containsSemiMixedTypes="0" containsString="0" containsNumber="1" containsInteger="1" minValue="248" maxValue="91998"/>
    </cacheField>
    <cacheField name="perinstate" numFmtId="0">
      <sharedItems containsSemiMixedTypes="0" containsString="0" containsNumber="1" minValue="0.106918239" maxValue="0.99331352149999996"/>
    </cacheField>
    <cacheField name="peroutstate" numFmtId="0">
      <sharedItems containsSemiMixedTypes="0" containsString="0" containsNumber="1" minValue="0" maxValue="0.81446540879999996"/>
    </cacheField>
    <cacheField name="perother" numFmtId="0">
      <sharedItems containsSemiMixedTypes="0" containsString="0" containsNumber="1" minValue="0" maxValue="0.69570178780000003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7">
  <r>
    <x v="0"/>
    <x v="0"/>
    <x v="0"/>
    <n v="6"/>
    <n v="1370"/>
    <n v="27"/>
    <n v="1403"/>
    <n v="0.97647897360000002"/>
    <n v="1.9244476100000001E-2"/>
    <n v="4.2765501999999997E-3"/>
  </r>
  <r>
    <x v="1"/>
    <x v="0"/>
    <x v="0"/>
    <n v="1"/>
    <n v="2854"/>
    <n v="9"/>
    <n v="2864"/>
    <n v="0.99650837989999996"/>
    <n v="3.1424580999999999E-3"/>
    <n v="3.4916199999999997E-4"/>
  </r>
  <r>
    <x v="2"/>
    <x v="0"/>
    <x v="0"/>
    <n v="16"/>
    <n v="3350"/>
    <n v="5"/>
    <n v="3371"/>
    <n v="0.99377039450000004"/>
    <n v="1.4832394E-3"/>
    <n v="4.7463660999999997E-3"/>
  </r>
  <r>
    <x v="3"/>
    <x v="0"/>
    <x v="0"/>
    <n v="12"/>
    <n v="7723"/>
    <n v="57"/>
    <n v="7792"/>
    <n v="0.99114476389999995"/>
    <n v="7.3151950999999996E-3"/>
    <n v="1.5400411000000001E-3"/>
  </r>
  <r>
    <x v="4"/>
    <x v="0"/>
    <x v="0"/>
    <n v="6"/>
    <n v="3947"/>
    <n v="45"/>
    <n v="3998"/>
    <n v="0.98724362180000003"/>
    <n v="1.1255627799999999E-2"/>
    <n v="1.5007504000000001E-3"/>
  </r>
  <r>
    <x v="5"/>
    <x v="0"/>
    <x v="0"/>
    <n v="125"/>
    <n v="3789"/>
    <n v="128"/>
    <n v="4042"/>
    <n v="0.93740722409999999"/>
    <n v="3.1667491300000003E-2"/>
    <n v="3.0925284500000001E-2"/>
  </r>
  <r>
    <x v="6"/>
    <x v="0"/>
    <x v="0"/>
    <n v="3"/>
    <n v="2156"/>
    <n v="10"/>
    <n v="2169"/>
    <n v="0.99400645460000003"/>
    <n v="4.6104194999999999E-3"/>
    <n v="1.3831258999999999E-3"/>
  </r>
  <r>
    <x v="7"/>
    <x v="0"/>
    <x v="0"/>
    <n v="11"/>
    <n v="1695"/>
    <n v="10"/>
    <n v="1716"/>
    <n v="0.98776223780000005"/>
    <n v="5.8275057999999996E-3"/>
    <n v="6.4102563999999997E-3"/>
  </r>
  <r>
    <x v="8"/>
    <x v="0"/>
    <x v="0"/>
    <n v="4"/>
    <n v="908"/>
    <n v="57"/>
    <n v="969"/>
    <n v="0.93704850360000003"/>
    <n v="5.8823529399999998E-2"/>
    <n v="4.1279669999999997E-3"/>
  </r>
  <r>
    <x v="9"/>
    <x v="0"/>
    <x v="0"/>
    <n v="1"/>
    <n v="839"/>
    <n v="3"/>
    <n v="843"/>
    <n v="0.99525504149999999"/>
    <n v="3.5587189000000001E-3"/>
    <n v="1.1862395999999999E-3"/>
  </r>
  <r>
    <x v="10"/>
    <x v="0"/>
    <x v="0"/>
    <n v="31"/>
    <n v="3792"/>
    <n v="58"/>
    <n v="3881"/>
    <n v="0.977067766"/>
    <n v="1.49446019E-2"/>
    <n v="7.9876320999999993E-3"/>
  </r>
  <r>
    <x v="11"/>
    <x v="0"/>
    <x v="0"/>
    <n v="1"/>
    <n v="4595"/>
    <n v="0"/>
    <n v="4596"/>
    <n v="0.99978241950000002"/>
    <n v="0"/>
    <n v="2.1758049999999999E-4"/>
  </r>
  <r>
    <x v="12"/>
    <x v="0"/>
    <x v="0"/>
    <n v="25"/>
    <n v="7334"/>
    <n v="260"/>
    <n v="7619"/>
    <n v="0.9625935162"/>
    <n v="3.4125213299999999E-2"/>
    <n v="3.2812704999999999E-3"/>
  </r>
  <r>
    <x v="13"/>
    <x v="0"/>
    <x v="0"/>
    <n v="110"/>
    <n v="6142"/>
    <n v="312"/>
    <n v="6564"/>
    <n v="0.93570993300000005"/>
    <n v="4.7531992699999998E-2"/>
    <n v="1.6758074299999998E-2"/>
  </r>
  <r>
    <x v="14"/>
    <x v="0"/>
    <x v="0"/>
    <n v="136"/>
    <n v="12987"/>
    <n v="332"/>
    <n v="13455"/>
    <n v="0.96521739129999995"/>
    <n v="2.46748421E-2"/>
    <n v="1.01077666E-2"/>
  </r>
  <r>
    <x v="15"/>
    <x v="0"/>
    <x v="0"/>
    <n v="2"/>
    <n v="1978"/>
    <n v="6"/>
    <n v="1986"/>
    <n v="0.99597180259999996"/>
    <n v="3.021148E-3"/>
    <n v="1.0070493E-3"/>
  </r>
  <r>
    <x v="16"/>
    <x v="0"/>
    <x v="0"/>
    <n v="68"/>
    <n v="2204"/>
    <n v="0"/>
    <n v="2272"/>
    <n v="0.97007042249999997"/>
    <n v="0"/>
    <n v="2.9929577499999999E-2"/>
  </r>
  <r>
    <x v="17"/>
    <x v="1"/>
    <x v="0"/>
    <n v="40"/>
    <n v="1626"/>
    <n v="55"/>
    <n v="1721"/>
    <n v="0.94479953520000004"/>
    <n v="3.1958163900000003E-2"/>
    <n v="2.3242301E-2"/>
  </r>
  <r>
    <x v="18"/>
    <x v="1"/>
    <x v="0"/>
    <n v="49"/>
    <n v="2289"/>
    <n v="176"/>
    <n v="2514"/>
    <n v="0.91050119330000001"/>
    <n v="7.0007955400000002E-2"/>
    <n v="1.9490851199999999E-2"/>
  </r>
  <r>
    <x v="19"/>
    <x v="1"/>
    <x v="0"/>
    <n v="33"/>
    <n v="4954"/>
    <n v="253"/>
    <n v="5240"/>
    <n v="0.94541984729999995"/>
    <n v="4.8282442699999997E-2"/>
    <n v="6.2977099000000002E-3"/>
  </r>
  <r>
    <x v="20"/>
    <x v="1"/>
    <x v="0"/>
    <n v="289"/>
    <n v="13342"/>
    <n v="725"/>
    <n v="14356"/>
    <n v="0.92936751179999999"/>
    <n v="5.0501532500000001E-2"/>
    <n v="2.0130955700000001E-2"/>
  </r>
  <r>
    <x v="21"/>
    <x v="1"/>
    <x v="0"/>
    <n v="131"/>
    <n v="3466"/>
    <n v="739"/>
    <n v="4336"/>
    <n v="0.79935424349999995"/>
    <n v="0.1704335793"/>
    <n v="3.0212177100000001E-2"/>
  </r>
  <r>
    <x v="22"/>
    <x v="1"/>
    <x v="0"/>
    <n v="12"/>
    <n v="4690"/>
    <n v="323"/>
    <n v="5025"/>
    <n v="0.93333333330000001"/>
    <n v="6.4278607000000001E-2"/>
    <n v="2.3880596999999999E-3"/>
  </r>
  <r>
    <x v="23"/>
    <x v="1"/>
    <x v="0"/>
    <n v="3561"/>
    <n v="1199"/>
    <n v="375"/>
    <n v="5135"/>
    <n v="0.23349561830000001"/>
    <n v="7.3028237600000004E-2"/>
    <n v="0.69347614410000002"/>
  </r>
  <r>
    <x v="24"/>
    <x v="1"/>
    <x v="0"/>
    <n v="300"/>
    <n v="6062"/>
    <n v="729"/>
    <n v="7091"/>
    <n v="0.85488647579999999"/>
    <n v="0.1028063743"/>
    <n v="4.23071499E-2"/>
  </r>
  <r>
    <x v="25"/>
    <x v="1"/>
    <x v="0"/>
    <n v="134"/>
    <n v="4507"/>
    <n v="1380"/>
    <n v="6021"/>
    <n v="0.74854675299999995"/>
    <n v="0.22919780770000001"/>
    <n v="2.2255439299999999E-2"/>
  </r>
  <r>
    <x v="26"/>
    <x v="1"/>
    <x v="0"/>
    <n v="325"/>
    <n v="8197"/>
    <n v="362"/>
    <n v="8884"/>
    <n v="0.92266996850000005"/>
    <n v="4.0747411099999999E-2"/>
    <n v="3.6582620400000002E-2"/>
  </r>
  <r>
    <x v="27"/>
    <x v="1"/>
    <x v="0"/>
    <n v="340"/>
    <n v="14984"/>
    <n v="1821"/>
    <n v="17145"/>
    <n v="0.87395742200000004"/>
    <n v="0.10621172349999999"/>
    <n v="1.9830854500000002E-2"/>
  </r>
  <r>
    <x v="28"/>
    <x v="1"/>
    <x v="0"/>
    <n v="232"/>
    <n v="4372"/>
    <n v="849"/>
    <n v="5453"/>
    <n v="0.8017604988"/>
    <n v="0.15569411329999999"/>
    <n v="4.2545387900000002E-2"/>
  </r>
  <r>
    <x v="29"/>
    <x v="1"/>
    <x v="0"/>
    <n v="316"/>
    <n v="8854"/>
    <n v="366"/>
    <n v="9536"/>
    <n v="0.92848154360000001"/>
    <n v="3.8380872500000003E-2"/>
    <n v="3.3137583900000003E-2"/>
  </r>
  <r>
    <x v="0"/>
    <x v="0"/>
    <x v="1"/>
    <n v="9"/>
    <n v="1326"/>
    <n v="33"/>
    <n v="1368"/>
    <n v="0.9692982456"/>
    <n v="2.4122807E-2"/>
    <n v="6.5789474000000001E-3"/>
  </r>
  <r>
    <x v="1"/>
    <x v="0"/>
    <x v="1"/>
    <n v="1"/>
    <n v="2911"/>
    <n v="2"/>
    <n v="2914"/>
    <n v="0.99897048730000004"/>
    <n v="6.8634179999999998E-4"/>
    <n v="3.4317089999999999E-4"/>
  </r>
  <r>
    <x v="2"/>
    <x v="0"/>
    <x v="1"/>
    <n v="7"/>
    <n v="3387"/>
    <n v="5"/>
    <n v="3399"/>
    <n v="0.99646954990000003"/>
    <n v="1.4710209000000001E-3"/>
    <n v="2.0594291999999998E-3"/>
  </r>
  <r>
    <x v="3"/>
    <x v="0"/>
    <x v="1"/>
    <n v="10"/>
    <n v="7693"/>
    <n v="49"/>
    <n v="7752"/>
    <n v="0.99238906090000001"/>
    <n v="6.3209494000000003E-3"/>
    <n v="1.2899897000000001E-3"/>
  </r>
  <r>
    <x v="4"/>
    <x v="0"/>
    <x v="1"/>
    <n v="15"/>
    <n v="3991"/>
    <n v="57"/>
    <n v="4063"/>
    <n v="0.98227910409999997"/>
    <n v="1.40290426E-2"/>
    <n v="3.6918532999999998E-3"/>
  </r>
  <r>
    <x v="5"/>
    <x v="0"/>
    <x v="1"/>
    <n v="151"/>
    <n v="3647"/>
    <n v="133"/>
    <n v="3931"/>
    <n v="0.9277537522"/>
    <n v="3.3833630099999998E-2"/>
    <n v="3.8412617699999999E-2"/>
  </r>
  <r>
    <x v="6"/>
    <x v="0"/>
    <x v="1"/>
    <n v="2"/>
    <n v="2295"/>
    <n v="20"/>
    <n v="2317"/>
    <n v="0.99050496330000004"/>
    <n v="8.6318514999999991E-3"/>
    <n v="8.631852E-4"/>
  </r>
  <r>
    <x v="7"/>
    <x v="0"/>
    <x v="1"/>
    <n v="25"/>
    <n v="1697"/>
    <n v="20"/>
    <n v="1742"/>
    <n v="0.97416762339999996"/>
    <n v="1.14810563E-2"/>
    <n v="1.43513203E-2"/>
  </r>
  <r>
    <x v="8"/>
    <x v="0"/>
    <x v="1"/>
    <n v="8"/>
    <n v="985"/>
    <n v="31"/>
    <n v="1024"/>
    <n v="0.9619140625"/>
    <n v="3.02734375E-2"/>
    <n v="7.8125E-3"/>
  </r>
  <r>
    <x v="9"/>
    <x v="0"/>
    <x v="1"/>
    <n v="9"/>
    <n v="896"/>
    <n v="7"/>
    <n v="912"/>
    <n v="0.98245614039999996"/>
    <n v="7.6754385999999999E-3"/>
    <n v="9.8684211000000001E-3"/>
  </r>
  <r>
    <x v="10"/>
    <x v="0"/>
    <x v="1"/>
    <n v="41"/>
    <n v="4217"/>
    <n v="71"/>
    <n v="4329"/>
    <n v="0.97412797409999996"/>
    <n v="1.6401016399999999E-2"/>
    <n v="9.4710095000000005E-3"/>
  </r>
  <r>
    <x v="11"/>
    <x v="0"/>
    <x v="1"/>
    <n v="2"/>
    <n v="4840"/>
    <n v="0"/>
    <n v="4842"/>
    <n v="0.99958694749999999"/>
    <n v="0"/>
    <n v="4.1305250000000002E-4"/>
  </r>
  <r>
    <x v="12"/>
    <x v="0"/>
    <x v="1"/>
    <n v="32"/>
    <n v="7084"/>
    <n v="224"/>
    <n v="7340"/>
    <n v="0.96512261580000003"/>
    <n v="3.0517711199999999E-2"/>
    <n v="4.3596729999999997E-3"/>
  </r>
  <r>
    <x v="13"/>
    <x v="0"/>
    <x v="1"/>
    <n v="153"/>
    <n v="5939"/>
    <n v="282"/>
    <n v="6374"/>
    <n v="0.93175400060000002"/>
    <n v="4.42422341E-2"/>
    <n v="2.40037653E-2"/>
  </r>
  <r>
    <x v="14"/>
    <x v="0"/>
    <x v="1"/>
    <n v="179"/>
    <n v="13021"/>
    <n v="298"/>
    <n v="13498"/>
    <n v="0.96466143130000004"/>
    <n v="2.2077344799999999E-2"/>
    <n v="1.3261223900000001E-2"/>
  </r>
  <r>
    <x v="15"/>
    <x v="0"/>
    <x v="1"/>
    <n v="12"/>
    <n v="2074"/>
    <n v="8"/>
    <n v="2094"/>
    <n v="0.99044890159999999"/>
    <n v="3.8204393999999998E-3"/>
    <n v="5.7306589999999999E-3"/>
  </r>
  <r>
    <x v="16"/>
    <x v="0"/>
    <x v="1"/>
    <n v="12"/>
    <n v="2235"/>
    <n v="53"/>
    <n v="2300"/>
    <n v="0.97173913040000004"/>
    <n v="2.30434783E-2"/>
    <n v="5.2173912999999997E-3"/>
  </r>
  <r>
    <x v="17"/>
    <x v="1"/>
    <x v="1"/>
    <n v="49"/>
    <n v="1621"/>
    <n v="43"/>
    <n v="1713"/>
    <n v="0.9462930531"/>
    <n v="2.5102159999999998E-2"/>
    <n v="2.8604786900000002E-2"/>
  </r>
  <r>
    <x v="18"/>
    <x v="1"/>
    <x v="1"/>
    <n v="74"/>
    <n v="2320"/>
    <n v="166"/>
    <n v="2560"/>
    <n v="0.90625"/>
    <n v="6.4843750000000006E-2"/>
    <n v="2.8906250000000001E-2"/>
  </r>
  <r>
    <x v="19"/>
    <x v="1"/>
    <x v="1"/>
    <n v="36"/>
    <n v="5095"/>
    <n v="264"/>
    <n v="5395"/>
    <n v="0.94439295639999998"/>
    <n v="4.8934198300000002E-2"/>
    <n v="6.6728452000000002E-3"/>
  </r>
  <r>
    <x v="20"/>
    <x v="1"/>
    <x v="1"/>
    <n v="319"/>
    <n v="13022"/>
    <n v="784"/>
    <n v="14125"/>
    <n v="0.92191150440000003"/>
    <n v="5.55044248E-2"/>
    <n v="2.2584070800000001E-2"/>
  </r>
  <r>
    <x v="21"/>
    <x v="1"/>
    <x v="1"/>
    <n v="150"/>
    <n v="3234"/>
    <n v="718"/>
    <n v="4102"/>
    <n v="0.78839590439999996"/>
    <n v="0.17503656749999999"/>
    <n v="3.6567528000000002E-2"/>
  </r>
  <r>
    <x v="22"/>
    <x v="1"/>
    <x v="1"/>
    <n v="16"/>
    <n v="4782"/>
    <n v="355"/>
    <n v="5153"/>
    <n v="0.92800310500000005"/>
    <n v="6.8891907599999996E-2"/>
    <n v="3.1049874000000002E-3"/>
  </r>
  <r>
    <x v="23"/>
    <x v="1"/>
    <x v="1"/>
    <n v="2543"/>
    <n v="2062"/>
    <n v="610"/>
    <n v="5215"/>
    <n v="0.39539789069999998"/>
    <n v="0.116970278"/>
    <n v="0.48763183129999998"/>
  </r>
  <r>
    <x v="24"/>
    <x v="1"/>
    <x v="1"/>
    <n v="194"/>
    <n v="6065"/>
    <n v="753"/>
    <n v="7012"/>
    <n v="0.86494580720000003"/>
    <n v="0.107387336"/>
    <n v="2.76668568E-2"/>
  </r>
  <r>
    <x v="25"/>
    <x v="1"/>
    <x v="1"/>
    <n v="135"/>
    <n v="4582"/>
    <n v="1335"/>
    <n v="6052"/>
    <n v="0.75710508919999997"/>
    <n v="0.22058823529999999"/>
    <n v="2.2306675500000001E-2"/>
  </r>
  <r>
    <x v="26"/>
    <x v="1"/>
    <x v="1"/>
    <n v="316"/>
    <n v="8048"/>
    <n v="353"/>
    <n v="8717"/>
    <n v="0.92325341289999996"/>
    <n v="4.0495583299999999E-2"/>
    <n v="3.6251003800000001E-2"/>
  </r>
  <r>
    <x v="27"/>
    <x v="1"/>
    <x v="1"/>
    <n v="341"/>
    <n v="15120"/>
    <n v="1873"/>
    <n v="17334"/>
    <n v="0.87227414329999997"/>
    <n v="0.1080535364"/>
    <n v="1.9672320300000001E-2"/>
  </r>
  <r>
    <x v="28"/>
    <x v="1"/>
    <x v="1"/>
    <n v="236"/>
    <n v="4559"/>
    <n v="874"/>
    <n v="5669"/>
    <n v="0.80419827129999999"/>
    <n v="0.15417181160000001"/>
    <n v="4.1629917099999997E-2"/>
  </r>
  <r>
    <x v="29"/>
    <x v="1"/>
    <x v="1"/>
    <n v="353"/>
    <n v="8624"/>
    <n v="343"/>
    <n v="9320"/>
    <n v="0.92532188839999996"/>
    <n v="3.6802575099999998E-2"/>
    <n v="3.7875536500000001E-2"/>
  </r>
  <r>
    <x v="0"/>
    <x v="0"/>
    <x v="2"/>
    <n v="32"/>
    <n v="1467"/>
    <n v="25"/>
    <n v="1524"/>
    <n v="0.96259842520000005"/>
    <n v="1.6404199500000001E-2"/>
    <n v="2.0997375299999999E-2"/>
  </r>
  <r>
    <x v="1"/>
    <x v="0"/>
    <x v="2"/>
    <n v="1"/>
    <n v="2926"/>
    <n v="6"/>
    <n v="2933"/>
    <n v="0.99761336519999999"/>
    <n v="2.045687E-3"/>
    <n v="3.4094779999999997E-4"/>
  </r>
  <r>
    <x v="2"/>
    <x v="0"/>
    <x v="2"/>
    <n v="29"/>
    <n v="3444"/>
    <n v="14"/>
    <n v="3487"/>
    <n v="0.98766848289999998"/>
    <n v="4.0149125000000004E-3"/>
    <n v="8.3166044999999997E-3"/>
  </r>
  <r>
    <x v="3"/>
    <x v="0"/>
    <x v="2"/>
    <n v="7"/>
    <n v="7862"/>
    <n v="64"/>
    <n v="7933"/>
    <n v="0.99105004409999997"/>
    <n v="8.0675659000000004E-3"/>
    <n v="8.8239000000000004E-4"/>
  </r>
  <r>
    <x v="4"/>
    <x v="0"/>
    <x v="2"/>
    <n v="11"/>
    <n v="4215"/>
    <n v="63"/>
    <n v="4289"/>
    <n v="0.98274656100000002"/>
    <n v="1.4688738600000001E-2"/>
    <n v="2.5647004000000002E-3"/>
  </r>
  <r>
    <x v="5"/>
    <x v="0"/>
    <x v="2"/>
    <n v="219"/>
    <n v="4134"/>
    <n v="131"/>
    <n v="4484"/>
    <n v="0.92194469219999997"/>
    <n v="2.9214986599999999E-2"/>
    <n v="4.88403211E-2"/>
  </r>
  <r>
    <x v="6"/>
    <x v="0"/>
    <x v="2"/>
    <n v="7"/>
    <n v="2266"/>
    <n v="15"/>
    <n v="2288"/>
    <n v="0.9903846154"/>
    <n v="6.5559440999999998E-3"/>
    <n v="3.0594405999999998E-3"/>
  </r>
  <r>
    <x v="7"/>
    <x v="0"/>
    <x v="2"/>
    <n v="19"/>
    <n v="1646"/>
    <n v="24"/>
    <n v="1689"/>
    <n v="0.97454114859999996"/>
    <n v="1.42095915E-2"/>
    <n v="1.1249259899999999E-2"/>
  </r>
  <r>
    <x v="9"/>
    <x v="0"/>
    <x v="2"/>
    <n v="11"/>
    <n v="914"/>
    <n v="9"/>
    <n v="934"/>
    <n v="0.9785867238"/>
    <n v="9.6359743000000008E-3"/>
    <n v="1.17773019E-2"/>
  </r>
  <r>
    <x v="10"/>
    <x v="0"/>
    <x v="2"/>
    <n v="41"/>
    <n v="4275"/>
    <n v="88"/>
    <n v="4404"/>
    <n v="0.97070844690000002"/>
    <n v="1.9981834699999999E-2"/>
    <n v="9.3097183999999999E-3"/>
  </r>
  <r>
    <x v="11"/>
    <x v="0"/>
    <x v="2"/>
    <n v="2"/>
    <n v="5095"/>
    <n v="0"/>
    <n v="5097"/>
    <n v="0.99960761229999995"/>
    <n v="0"/>
    <n v="3.9238769999999998E-4"/>
  </r>
  <r>
    <x v="12"/>
    <x v="0"/>
    <x v="2"/>
    <n v="34"/>
    <n v="7017"/>
    <n v="197"/>
    <n v="7248"/>
    <n v="0.96812913909999998"/>
    <n v="2.71799117E-2"/>
    <n v="4.6909491999999999E-3"/>
  </r>
  <r>
    <x v="13"/>
    <x v="0"/>
    <x v="2"/>
    <n v="156"/>
    <n v="5629"/>
    <n v="259"/>
    <n v="6044"/>
    <n v="0.93133686299999996"/>
    <n v="4.2852415599999999E-2"/>
    <n v="2.58107214E-2"/>
  </r>
  <r>
    <x v="14"/>
    <x v="0"/>
    <x v="2"/>
    <n v="175"/>
    <n v="12647"/>
    <n v="296"/>
    <n v="13118"/>
    <n v="0.96409513650000001"/>
    <n v="2.2564415300000001E-2"/>
    <n v="1.33404482E-2"/>
  </r>
  <r>
    <x v="15"/>
    <x v="0"/>
    <x v="2"/>
    <n v="1"/>
    <n v="2084"/>
    <n v="16"/>
    <n v="2101"/>
    <n v="0.99190861490000004"/>
    <n v="7.6154211999999999E-3"/>
    <n v="4.7596379999999998E-4"/>
  </r>
  <r>
    <x v="16"/>
    <x v="0"/>
    <x v="2"/>
    <n v="16"/>
    <n v="2155"/>
    <n v="38"/>
    <n v="2209"/>
    <n v="0.97555454959999999"/>
    <n v="1.7202354E-2"/>
    <n v="7.2430964000000002E-3"/>
  </r>
  <r>
    <x v="17"/>
    <x v="1"/>
    <x v="2"/>
    <n v="60"/>
    <n v="1621"/>
    <n v="48"/>
    <n v="1729"/>
    <n v="0.93753614809999997"/>
    <n v="2.7761712000000001E-2"/>
    <n v="3.4702139999999999E-2"/>
  </r>
  <r>
    <x v="18"/>
    <x v="1"/>
    <x v="2"/>
    <n v="105"/>
    <n v="2494"/>
    <n v="162"/>
    <n v="2761"/>
    <n v="0.90329590729999998"/>
    <n v="5.8674393300000002E-2"/>
    <n v="3.8029699399999999E-2"/>
  </r>
  <r>
    <x v="19"/>
    <x v="1"/>
    <x v="2"/>
    <n v="43"/>
    <n v="5201"/>
    <n v="294"/>
    <n v="5538"/>
    <n v="0.93914770680000004"/>
    <n v="5.3087757300000003E-2"/>
    <n v="7.7645359000000002E-3"/>
  </r>
  <r>
    <x v="20"/>
    <x v="1"/>
    <x v="2"/>
    <n v="316"/>
    <n v="12662"/>
    <n v="782"/>
    <n v="13760"/>
    <n v="0.92020348839999999"/>
    <n v="5.6831395299999997E-2"/>
    <n v="2.2965116300000001E-2"/>
  </r>
  <r>
    <x v="21"/>
    <x v="1"/>
    <x v="2"/>
    <n v="151"/>
    <n v="3189"/>
    <n v="708"/>
    <n v="4048"/>
    <n v="0.78779644270000004"/>
    <n v="0.1749011858"/>
    <n v="3.7302371500000001E-2"/>
  </r>
  <r>
    <x v="22"/>
    <x v="1"/>
    <x v="2"/>
    <n v="19"/>
    <n v="4757"/>
    <n v="354"/>
    <n v="5130"/>
    <n v="0.92729044829999996"/>
    <n v="6.9005847999999995E-2"/>
    <n v="3.7037036999999998E-3"/>
  </r>
  <r>
    <x v="23"/>
    <x v="1"/>
    <x v="2"/>
    <n v="1790"/>
    <n v="2570"/>
    <n v="784"/>
    <n v="5144"/>
    <n v="0.49961119749999999"/>
    <n v="0.1524105754"/>
    <n v="0.34797822709999998"/>
  </r>
  <r>
    <x v="24"/>
    <x v="1"/>
    <x v="2"/>
    <n v="176"/>
    <n v="6145"/>
    <n v="743"/>
    <n v="7064"/>
    <n v="0.86990373730000004"/>
    <n v="0.1051812005"/>
    <n v="2.4915062299999999E-2"/>
  </r>
  <r>
    <x v="25"/>
    <x v="1"/>
    <x v="2"/>
    <n v="165"/>
    <n v="4611"/>
    <n v="1309"/>
    <n v="6085"/>
    <n v="0.75776499590000002"/>
    <n v="0.21511914539999999"/>
    <n v="2.7115858699999999E-2"/>
  </r>
  <r>
    <x v="26"/>
    <x v="1"/>
    <x v="2"/>
    <n v="315"/>
    <n v="7929"/>
    <n v="391"/>
    <n v="8635"/>
    <n v="0.91823972210000004"/>
    <n v="4.5280833800000003E-2"/>
    <n v="3.6479444100000001E-2"/>
  </r>
  <r>
    <x v="27"/>
    <x v="1"/>
    <x v="2"/>
    <n v="286"/>
    <n v="15407"/>
    <n v="1985"/>
    <n v="17678"/>
    <n v="0.87153524149999995"/>
    <n v="0.11228645769999999"/>
    <n v="1.6178300699999999E-2"/>
  </r>
  <r>
    <x v="28"/>
    <x v="1"/>
    <x v="2"/>
    <n v="191"/>
    <n v="4575"/>
    <n v="928"/>
    <n v="5694"/>
    <n v="0.80347734459999998"/>
    <n v="0.16297857390000001"/>
    <n v="3.3544081500000003E-2"/>
  </r>
  <r>
    <x v="29"/>
    <x v="1"/>
    <x v="2"/>
    <n v="374"/>
    <n v="8915"/>
    <n v="357"/>
    <n v="9646"/>
    <n v="0.92421729210000003"/>
    <n v="3.7010159700000003E-2"/>
    <n v="3.87725482E-2"/>
  </r>
  <r>
    <x v="0"/>
    <x v="0"/>
    <x v="3"/>
    <n v="31"/>
    <n v="1542"/>
    <n v="23"/>
    <n v="1596"/>
    <n v="0.96616541349999996"/>
    <n v="1.4411027599999999E-2"/>
    <n v="1.9423558899999999E-2"/>
  </r>
  <r>
    <x v="1"/>
    <x v="0"/>
    <x v="3"/>
    <n v="1"/>
    <n v="3187"/>
    <n v="2"/>
    <n v="3190"/>
    <n v="0.99905956110000005"/>
    <n v="6.2695920000000003E-4"/>
    <n v="3.1347960000000001E-4"/>
  </r>
  <r>
    <x v="2"/>
    <x v="0"/>
    <x v="3"/>
    <n v="856"/>
    <n v="2582"/>
    <n v="22"/>
    <n v="3460"/>
    <n v="0.74624277459999999"/>
    <n v="6.3583815000000004E-3"/>
    <n v="0.2473988439"/>
  </r>
  <r>
    <x v="30"/>
    <x v="0"/>
    <x v="3"/>
    <n v="9"/>
    <n v="738"/>
    <n v="7"/>
    <n v="754"/>
    <n v="0.97877984080000002"/>
    <n v="9.2838195999999998E-3"/>
    <n v="1.19363395E-2"/>
  </r>
  <r>
    <x v="3"/>
    <x v="0"/>
    <x v="3"/>
    <n v="13"/>
    <n v="7922"/>
    <n v="64"/>
    <n v="7999"/>
    <n v="0.99037379670000003"/>
    <n v="8.0010001000000008E-3"/>
    <n v="1.6252032E-3"/>
  </r>
  <r>
    <x v="4"/>
    <x v="0"/>
    <x v="3"/>
    <n v="17"/>
    <n v="4192"/>
    <n v="46"/>
    <n v="4255"/>
    <n v="0.98519388949999998"/>
    <n v="1.0810810800000001E-2"/>
    <n v="3.9952996000000001E-3"/>
  </r>
  <r>
    <x v="5"/>
    <x v="0"/>
    <x v="3"/>
    <n v="205"/>
    <n v="3785"/>
    <n v="110"/>
    <n v="4100"/>
    <n v="0.92317073169999997"/>
    <n v="2.68292683E-2"/>
    <n v="0.05"/>
  </r>
  <r>
    <x v="6"/>
    <x v="0"/>
    <x v="3"/>
    <n v="9"/>
    <n v="2255"/>
    <n v="10"/>
    <n v="2274"/>
    <n v="0.99164467899999997"/>
    <n v="4.3975374000000001E-3"/>
    <n v="3.9577835999999996E-3"/>
  </r>
  <r>
    <x v="7"/>
    <x v="0"/>
    <x v="3"/>
    <n v="46"/>
    <n v="2217"/>
    <n v="0"/>
    <n v="2263"/>
    <n v="0.97967300040000005"/>
    <n v="0"/>
    <n v="2.0326999599999999E-2"/>
  </r>
  <r>
    <x v="8"/>
    <x v="0"/>
    <x v="3"/>
    <n v="20"/>
    <n v="938"/>
    <n v="90"/>
    <n v="1048"/>
    <n v="0.89503816790000001"/>
    <n v="8.5877862599999993E-2"/>
    <n v="1.9083969499999999E-2"/>
  </r>
  <r>
    <x v="9"/>
    <x v="0"/>
    <x v="3"/>
    <n v="5"/>
    <n v="904"/>
    <n v="9"/>
    <n v="918"/>
    <n v="0.98474945530000002"/>
    <n v="9.8039215999999995E-3"/>
    <n v="5.4466230999999999E-3"/>
  </r>
  <r>
    <x v="10"/>
    <x v="0"/>
    <x v="3"/>
    <n v="56"/>
    <n v="4768"/>
    <n v="85"/>
    <n v="4909"/>
    <n v="0.97127724589999997"/>
    <n v="1.7315135499999999E-2"/>
    <n v="1.14076187E-2"/>
  </r>
  <r>
    <x v="11"/>
    <x v="0"/>
    <x v="3"/>
    <n v="5"/>
    <n v="5226"/>
    <n v="0"/>
    <n v="5231"/>
    <n v="0.99904415980000005"/>
    <n v="0"/>
    <n v="9.5584019999999997E-4"/>
  </r>
  <r>
    <x v="12"/>
    <x v="0"/>
    <x v="3"/>
    <n v="31"/>
    <n v="6906"/>
    <n v="218"/>
    <n v="7155"/>
    <n v="0.96519916139999995"/>
    <n v="3.04682041E-2"/>
    <n v="4.3326344999999999E-3"/>
  </r>
  <r>
    <x v="13"/>
    <x v="0"/>
    <x v="3"/>
    <n v="138"/>
    <n v="6167"/>
    <n v="313"/>
    <n v="6618"/>
    <n v="0.93185252340000002"/>
    <n v="4.72952554E-2"/>
    <n v="2.08522212E-2"/>
  </r>
  <r>
    <x v="14"/>
    <x v="0"/>
    <x v="3"/>
    <n v="219"/>
    <n v="13103"/>
    <n v="286"/>
    <n v="13608"/>
    <n v="0.96288947680000003"/>
    <n v="2.10170488E-2"/>
    <n v="1.6093474399999998E-2"/>
  </r>
  <r>
    <x v="15"/>
    <x v="0"/>
    <x v="3"/>
    <n v="21"/>
    <n v="2490"/>
    <n v="26"/>
    <n v="2537"/>
    <n v="0.98147418210000004"/>
    <n v="1.02483248E-2"/>
    <n v="8.2774931E-3"/>
  </r>
  <r>
    <x v="16"/>
    <x v="0"/>
    <x v="3"/>
    <n v="0"/>
    <n v="2351"/>
    <n v="44"/>
    <n v="2395"/>
    <n v="0.9816283925"/>
    <n v="1.8371607500000001E-2"/>
    <n v="0"/>
  </r>
  <r>
    <x v="17"/>
    <x v="1"/>
    <x v="3"/>
    <n v="63"/>
    <n v="1534"/>
    <n v="68"/>
    <n v="1665"/>
    <n v="0.9213213213"/>
    <n v="4.08408408E-2"/>
    <n v="3.7837837800000003E-2"/>
  </r>
  <r>
    <x v="18"/>
    <x v="1"/>
    <x v="3"/>
    <n v="107"/>
    <n v="2569"/>
    <n v="203"/>
    <n v="2879"/>
    <n v="0.8923237235"/>
    <n v="7.0510593999999996E-2"/>
    <n v="3.7165682499999998E-2"/>
  </r>
  <r>
    <x v="19"/>
    <x v="1"/>
    <x v="3"/>
    <n v="81"/>
    <n v="5179"/>
    <n v="323"/>
    <n v="5583"/>
    <n v="0.92763747090000004"/>
    <n v="5.7854200299999999E-2"/>
    <n v="1.4508328900000001E-2"/>
  </r>
  <r>
    <x v="20"/>
    <x v="1"/>
    <x v="3"/>
    <n v="333"/>
    <n v="12844"/>
    <n v="802"/>
    <n v="13979"/>
    <n v="0.91880678159999996"/>
    <n v="5.73717719E-2"/>
    <n v="2.3821446499999999E-2"/>
  </r>
  <r>
    <x v="21"/>
    <x v="1"/>
    <x v="3"/>
    <n v="136"/>
    <n v="3070"/>
    <n v="667"/>
    <n v="3873"/>
    <n v="0.79266718309999995"/>
    <n v="0.17221791889999999"/>
    <n v="3.5114897999999999E-2"/>
  </r>
  <r>
    <x v="22"/>
    <x v="1"/>
    <x v="3"/>
    <n v="21"/>
    <n v="4739"/>
    <n v="354"/>
    <n v="5114"/>
    <n v="0.92667188109999998"/>
    <n v="6.9221744200000004E-2"/>
    <n v="4.1063747000000001E-3"/>
  </r>
  <r>
    <x v="23"/>
    <x v="1"/>
    <x v="3"/>
    <n v="1038"/>
    <n v="3247"/>
    <n v="976"/>
    <n v="5261"/>
    <n v="0.61718304499999999"/>
    <n v="0.1855160616"/>
    <n v="0.19730089340000001"/>
  </r>
  <r>
    <x v="24"/>
    <x v="1"/>
    <x v="3"/>
    <n v="203"/>
    <n v="6225"/>
    <n v="732"/>
    <n v="7160"/>
    <n v="0.86941340779999998"/>
    <n v="0.10223463689999999"/>
    <n v="2.8351955299999999E-2"/>
  </r>
  <r>
    <x v="25"/>
    <x v="1"/>
    <x v="3"/>
    <n v="190"/>
    <n v="4532"/>
    <n v="1245"/>
    <n v="5967"/>
    <n v="0.75951064189999995"/>
    <n v="0.2086475616"/>
    <n v="3.1841796499999998E-2"/>
  </r>
  <r>
    <x v="26"/>
    <x v="1"/>
    <x v="3"/>
    <n v="373"/>
    <n v="7957"/>
    <n v="403"/>
    <n v="8733"/>
    <n v="0.91114164659999997"/>
    <n v="4.6146799500000002E-2"/>
    <n v="4.2711553899999997E-2"/>
  </r>
  <r>
    <x v="27"/>
    <x v="1"/>
    <x v="3"/>
    <n v="277"/>
    <n v="15513"/>
    <n v="1999"/>
    <n v="17789"/>
    <n v="0.87205576480000002"/>
    <n v="0.1123728147"/>
    <n v="1.55714205E-2"/>
  </r>
  <r>
    <x v="28"/>
    <x v="1"/>
    <x v="3"/>
    <n v="176"/>
    <n v="4635"/>
    <n v="957"/>
    <n v="5768"/>
    <n v="0.80357142859999997"/>
    <n v="0.16591539529999999"/>
    <n v="3.0513176100000001E-2"/>
  </r>
  <r>
    <x v="29"/>
    <x v="1"/>
    <x v="3"/>
    <n v="389"/>
    <n v="8984"/>
    <n v="318"/>
    <n v="9691"/>
    <n v="0.92704571250000001"/>
    <n v="3.2813951100000002E-2"/>
    <n v="4.0140336399999997E-2"/>
  </r>
  <r>
    <x v="0"/>
    <x v="0"/>
    <x v="4"/>
    <n v="24"/>
    <n v="1548"/>
    <n v="18"/>
    <n v="1590"/>
    <n v="0.9735849057"/>
    <n v="1.13207547E-2"/>
    <n v="1.5094339599999999E-2"/>
  </r>
  <r>
    <x v="1"/>
    <x v="0"/>
    <x v="4"/>
    <n v="17"/>
    <n v="2710"/>
    <n v="1"/>
    <n v="2728"/>
    <n v="0.99340175949999998"/>
    <n v="3.6656889999999999E-4"/>
    <n v="6.2316715999999996E-3"/>
  </r>
  <r>
    <x v="2"/>
    <x v="0"/>
    <x v="4"/>
    <n v="453"/>
    <n v="2946"/>
    <n v="16"/>
    <n v="3415"/>
    <n v="0.86266471450000004"/>
    <n v="4.6852122999999999E-3"/>
    <n v="0.1326500732"/>
  </r>
  <r>
    <x v="30"/>
    <x v="0"/>
    <x v="4"/>
    <n v="11"/>
    <n v="738"/>
    <n v="4"/>
    <n v="753"/>
    <n v="0.98007968130000001"/>
    <n v="5.3120850000000002E-3"/>
    <n v="1.4608233700000001E-2"/>
  </r>
  <r>
    <x v="3"/>
    <x v="0"/>
    <x v="4"/>
    <n v="11"/>
    <n v="7818"/>
    <n v="68"/>
    <n v="7897"/>
    <n v="0.98999620109999997"/>
    <n v="8.6108648999999992E-3"/>
    <n v="1.392934E-3"/>
  </r>
  <r>
    <x v="4"/>
    <x v="0"/>
    <x v="4"/>
    <n v="15"/>
    <n v="4442"/>
    <n v="64"/>
    <n v="4521"/>
    <n v="0.98252598980000005"/>
    <n v="1.4156160100000001E-2"/>
    <n v="3.3178499999999998E-3"/>
  </r>
  <r>
    <x v="5"/>
    <x v="0"/>
    <x v="4"/>
    <n v="230"/>
    <n v="4036"/>
    <n v="108"/>
    <n v="4374"/>
    <n v="0.9227251943"/>
    <n v="2.4691358E-2"/>
    <n v="5.25834476E-2"/>
  </r>
  <r>
    <x v="6"/>
    <x v="0"/>
    <x v="4"/>
    <n v="6"/>
    <n v="2494"/>
    <n v="8"/>
    <n v="2508"/>
    <n v="0.9944178628"/>
    <n v="3.1897927000000001E-3"/>
    <n v="2.3923445E-3"/>
  </r>
  <r>
    <x v="7"/>
    <x v="0"/>
    <x v="4"/>
    <n v="49"/>
    <n v="2416"/>
    <n v="0"/>
    <n v="2465"/>
    <n v="0.98012170389999997"/>
    <n v="0"/>
    <n v="1.9878296100000001E-2"/>
  </r>
  <r>
    <x v="8"/>
    <x v="0"/>
    <x v="4"/>
    <n v="7"/>
    <n v="1155"/>
    <n v="37"/>
    <n v="1199"/>
    <n v="0.96330275229999995"/>
    <n v="3.0859049199999999E-2"/>
    <n v="5.8381984999999999E-3"/>
  </r>
  <r>
    <x v="9"/>
    <x v="0"/>
    <x v="4"/>
    <n v="5"/>
    <n v="949"/>
    <n v="7"/>
    <n v="961"/>
    <n v="0.98751300730000002"/>
    <n v="7.2840791000000002E-3"/>
    <n v="5.2029136000000002E-3"/>
  </r>
  <r>
    <x v="10"/>
    <x v="0"/>
    <x v="4"/>
    <n v="13"/>
    <n v="5368"/>
    <n v="44"/>
    <n v="5425"/>
    <n v="0.98949308759999999"/>
    <n v="8.1105990999999992E-3"/>
    <n v="2.3963133999999999E-3"/>
  </r>
  <r>
    <x v="11"/>
    <x v="0"/>
    <x v="4"/>
    <n v="6"/>
    <n v="5379"/>
    <n v="0"/>
    <n v="5385"/>
    <n v="0.99888579389999999"/>
    <n v="0"/>
    <n v="1.1142061E-3"/>
  </r>
  <r>
    <x v="12"/>
    <x v="0"/>
    <x v="4"/>
    <n v="38"/>
    <n v="5652"/>
    <n v="197"/>
    <n v="5887"/>
    <n v="0.96008153559999998"/>
    <n v="3.3463563799999999E-2"/>
    <n v="6.4549005999999997E-3"/>
  </r>
  <r>
    <x v="13"/>
    <x v="0"/>
    <x v="4"/>
    <n v="133"/>
    <n v="5784"/>
    <n v="314"/>
    <n v="6231"/>
    <n v="0.92826191619999998"/>
    <n v="5.0393195299999999E-2"/>
    <n v="2.1344888499999999E-2"/>
  </r>
  <r>
    <x v="14"/>
    <x v="0"/>
    <x v="4"/>
    <n v="285"/>
    <n v="10369"/>
    <n v="321"/>
    <n v="10975"/>
    <n v="0.94478359909999998"/>
    <n v="2.92482916E-2"/>
    <n v="2.59681093E-2"/>
  </r>
  <r>
    <x v="15"/>
    <x v="0"/>
    <x v="4"/>
    <n v="2808"/>
    <m/>
    <m/>
    <n v="2808"/>
    <m/>
    <m/>
    <n v="1"/>
  </r>
  <r>
    <x v="16"/>
    <x v="0"/>
    <x v="4"/>
    <n v="2"/>
    <n v="2376"/>
    <n v="46"/>
    <n v="2424"/>
    <n v="0.98019801979999999"/>
    <n v="1.8976897699999998E-2"/>
    <n v="8.2508250000000005E-4"/>
  </r>
  <r>
    <x v="17"/>
    <x v="1"/>
    <x v="4"/>
    <n v="153"/>
    <n v="1678"/>
    <n v="0"/>
    <n v="1831"/>
    <n v="0.91643910429999997"/>
    <n v="0"/>
    <n v="8.3560895699999999E-2"/>
  </r>
  <r>
    <x v="18"/>
    <x v="1"/>
    <x v="4"/>
    <n v="154"/>
    <n v="2542"/>
    <n v="179"/>
    <n v="2875"/>
    <n v="0.88417391300000003"/>
    <n v="6.2260869599999998E-2"/>
    <n v="5.3565217399999997E-2"/>
  </r>
  <r>
    <x v="19"/>
    <x v="1"/>
    <x v="4"/>
    <n v="89"/>
    <n v="5228"/>
    <n v="321"/>
    <n v="5638"/>
    <n v="0.92727917699999995"/>
    <n v="5.6935083400000003E-2"/>
    <n v="1.5785739600000001E-2"/>
  </r>
  <r>
    <x v="20"/>
    <x v="1"/>
    <x v="4"/>
    <n v="323"/>
    <n v="12916"/>
    <n v="842"/>
    <n v="14081"/>
    <n v="0.91726439879999999"/>
    <n v="5.9796889399999997E-2"/>
    <n v="2.2938711699999999E-2"/>
  </r>
  <r>
    <x v="21"/>
    <x v="1"/>
    <x v="4"/>
    <n v="118"/>
    <n v="2984"/>
    <n v="586"/>
    <n v="3688"/>
    <n v="0.80911062909999998"/>
    <n v="0.15889370929999999"/>
    <n v="3.1995661600000003E-2"/>
  </r>
  <r>
    <x v="22"/>
    <x v="1"/>
    <x v="4"/>
    <n v="24"/>
    <n v="4656"/>
    <n v="351"/>
    <n v="5031"/>
    <n v="0.92546213479999995"/>
    <n v="6.9767441900000005E-2"/>
    <n v="4.7704234000000003E-3"/>
  </r>
  <r>
    <x v="23"/>
    <x v="1"/>
    <x v="4"/>
    <n v="653"/>
    <n v="3690"/>
    <n v="1101"/>
    <n v="5444"/>
    <n v="0.67781043350000003"/>
    <n v="0.2022409993"/>
    <n v="0.11994856719999999"/>
  </r>
  <r>
    <x v="24"/>
    <x v="1"/>
    <x v="4"/>
    <n v="249"/>
    <n v="6316"/>
    <n v="769"/>
    <n v="7334"/>
    <n v="0.86119443689999997"/>
    <n v="0.10485410420000001"/>
    <n v="3.3951459000000003E-2"/>
  </r>
  <r>
    <x v="25"/>
    <x v="1"/>
    <x v="4"/>
    <n v="186"/>
    <n v="4426"/>
    <n v="1219"/>
    <n v="5831"/>
    <n v="0.75904647569999995"/>
    <n v="0.20905505059999999"/>
    <n v="3.1898473699999999E-2"/>
  </r>
  <r>
    <x v="26"/>
    <x v="1"/>
    <x v="4"/>
    <n v="318"/>
    <n v="7978"/>
    <n v="412"/>
    <n v="8708"/>
    <n v="0.91616903999999999"/>
    <n v="4.7312815799999998E-2"/>
    <n v="3.6518144199999998E-2"/>
  </r>
  <r>
    <x v="27"/>
    <x v="1"/>
    <x v="4"/>
    <n v="258"/>
    <n v="15772"/>
    <n v="2002"/>
    <n v="18032"/>
    <n v="0.87466725820000002"/>
    <n v="0.1110248447"/>
    <n v="1.43078971E-2"/>
  </r>
  <r>
    <x v="28"/>
    <x v="1"/>
    <x v="4"/>
    <n v="169"/>
    <n v="4582"/>
    <n v="999"/>
    <n v="5750"/>
    <n v="0.79686956519999996"/>
    <n v="0.1737391304"/>
    <n v="2.9391304300000001E-2"/>
  </r>
  <r>
    <x v="29"/>
    <x v="1"/>
    <x v="4"/>
    <n v="459"/>
    <n v="8927"/>
    <n v="336"/>
    <n v="9722"/>
    <n v="0.91822670230000003"/>
    <n v="3.4560790000000001E-2"/>
    <n v="4.7212507700000003E-2"/>
  </r>
  <r>
    <x v="0"/>
    <x v="0"/>
    <x v="5"/>
    <n v="23"/>
    <n v="1868"/>
    <n v="18"/>
    <n v="1909"/>
    <n v="0.97852278680000004"/>
    <n v="9.4290203999999999E-3"/>
    <n v="1.20481928E-2"/>
  </r>
  <r>
    <x v="1"/>
    <x v="0"/>
    <x v="5"/>
    <n v="1"/>
    <n v="3248"/>
    <n v="2"/>
    <n v="3251"/>
    <n v="0.99907720700000002"/>
    <n v="6.1519530000000002E-4"/>
    <n v="3.0759770000000002E-4"/>
  </r>
  <r>
    <x v="2"/>
    <x v="0"/>
    <x v="5"/>
    <n v="203"/>
    <n v="3234"/>
    <n v="14"/>
    <n v="3451"/>
    <n v="0.93711967549999997"/>
    <n v="4.0567950999999998E-3"/>
    <n v="5.8823529399999998E-2"/>
  </r>
  <r>
    <x v="30"/>
    <x v="0"/>
    <x v="5"/>
    <n v="29"/>
    <n v="777"/>
    <n v="7"/>
    <n v="813"/>
    <n v="0.95571955720000001"/>
    <n v="8.6100861000000008E-3"/>
    <n v="3.5670356700000003E-2"/>
  </r>
  <r>
    <x v="3"/>
    <x v="0"/>
    <x v="5"/>
    <n v="3"/>
    <n v="7621"/>
    <n v="56"/>
    <n v="7680"/>
    <n v="0.99231770829999999"/>
    <n v="7.2916667000000003E-3"/>
    <n v="3.9062500000000002E-4"/>
  </r>
  <r>
    <x v="4"/>
    <x v="0"/>
    <x v="5"/>
    <n v="1"/>
    <n v="4326"/>
    <n v="58"/>
    <n v="4385"/>
    <n v="0.98654503989999998"/>
    <n v="1.32269099E-2"/>
    <n v="2.280502E-4"/>
  </r>
  <r>
    <x v="5"/>
    <x v="0"/>
    <x v="5"/>
    <n v="9"/>
    <n v="4121"/>
    <n v="182"/>
    <n v="4312"/>
    <n v="0.95570500930000002"/>
    <n v="4.2207792199999997E-2"/>
    <n v="2.0871984999999999E-3"/>
  </r>
  <r>
    <x v="6"/>
    <x v="0"/>
    <x v="5"/>
    <n v="4"/>
    <n v="2556"/>
    <n v="9"/>
    <n v="2569"/>
    <n v="0.99493966519999999"/>
    <n v="3.5033086999999999E-3"/>
    <n v="1.5570261E-3"/>
  </r>
  <r>
    <x v="7"/>
    <x v="0"/>
    <x v="5"/>
    <n v="59"/>
    <n v="2721"/>
    <n v="0"/>
    <n v="2780"/>
    <n v="0.9787769784"/>
    <n v="0"/>
    <n v="2.1223021599999999E-2"/>
  </r>
  <r>
    <x v="8"/>
    <x v="0"/>
    <x v="5"/>
    <n v="58"/>
    <n v="1302"/>
    <n v="0"/>
    <n v="1360"/>
    <n v="0.95735294120000003"/>
    <n v="0"/>
    <n v="4.2647058799999998E-2"/>
  </r>
  <r>
    <x v="9"/>
    <x v="0"/>
    <x v="5"/>
    <n v="7"/>
    <n v="973"/>
    <n v="12"/>
    <n v="992"/>
    <n v="0.98084677419999999"/>
    <n v="1.20967742E-2"/>
    <n v="7.0564516000000002E-3"/>
  </r>
  <r>
    <x v="10"/>
    <x v="0"/>
    <x v="5"/>
    <n v="27"/>
    <n v="6387"/>
    <n v="64"/>
    <n v="6478"/>
    <n v="0.98595245450000002"/>
    <n v="9.8795924999999993E-3"/>
    <n v="4.1679530999999999E-3"/>
  </r>
  <r>
    <x v="11"/>
    <x v="0"/>
    <x v="5"/>
    <n v="7"/>
    <n v="5975"/>
    <n v="0"/>
    <n v="5982"/>
    <n v="0.99882982279999999"/>
    <n v="0"/>
    <n v="1.1701772E-3"/>
  </r>
  <r>
    <x v="12"/>
    <x v="0"/>
    <x v="5"/>
    <n v="56"/>
    <n v="6843"/>
    <n v="145"/>
    <n v="7044"/>
    <n v="0.97146507670000004"/>
    <n v="2.0584894900000001E-2"/>
    <n v="7.9500283999999997E-3"/>
  </r>
  <r>
    <x v="13"/>
    <x v="0"/>
    <x v="5"/>
    <n v="166"/>
    <n v="6742"/>
    <n v="208"/>
    <n v="7116"/>
    <n v="0.94744238339999998"/>
    <n v="2.9229904399999999E-2"/>
    <n v="2.33277122E-2"/>
  </r>
  <r>
    <x v="14"/>
    <x v="0"/>
    <x v="5"/>
    <n v="142"/>
    <n v="12349"/>
    <n v="140"/>
    <n v="12631"/>
    <n v="0.9776739767"/>
    <n v="1.1083841299999999E-2"/>
    <n v="1.12421819E-2"/>
  </r>
  <r>
    <x v="15"/>
    <x v="0"/>
    <x v="5"/>
    <n v="45"/>
    <n v="2531"/>
    <n v="22"/>
    <n v="2598"/>
    <n v="0.97421093150000004"/>
    <n v="8.4680523000000008E-3"/>
    <n v="1.7321016200000001E-2"/>
  </r>
  <r>
    <x v="16"/>
    <x v="0"/>
    <x v="5"/>
    <n v="6"/>
    <n v="2528"/>
    <n v="56"/>
    <n v="2590"/>
    <n v="0.9760617761"/>
    <n v="2.1621621600000002E-2"/>
    <n v="2.3166023000000002E-3"/>
  </r>
  <r>
    <x v="17"/>
    <x v="1"/>
    <x v="5"/>
    <n v="152"/>
    <n v="1760"/>
    <n v="0"/>
    <n v="1912"/>
    <n v="0.9205020921"/>
    <n v="0"/>
    <n v="7.9497907899999998E-2"/>
  </r>
  <r>
    <x v="18"/>
    <x v="1"/>
    <x v="5"/>
    <n v="181"/>
    <n v="2423"/>
    <n v="234"/>
    <n v="2838"/>
    <n v="0.85377026069999995"/>
    <n v="8.2452431300000004E-2"/>
    <n v="6.3777308000000005E-2"/>
  </r>
  <r>
    <x v="19"/>
    <x v="1"/>
    <x v="5"/>
    <n v="113"/>
    <n v="5356"/>
    <n v="306"/>
    <n v="5775"/>
    <n v="0.9274458874"/>
    <n v="5.2987012999999999E-2"/>
    <n v="1.9567099599999999E-2"/>
  </r>
  <r>
    <x v="20"/>
    <x v="1"/>
    <x v="5"/>
    <n v="312"/>
    <n v="13003"/>
    <n v="873"/>
    <n v="14188"/>
    <n v="0.91647871439999995"/>
    <n v="6.1530871199999997E-2"/>
    <n v="2.1990414400000002E-2"/>
  </r>
  <r>
    <x v="21"/>
    <x v="1"/>
    <x v="5"/>
    <n v="136"/>
    <n v="3032"/>
    <n v="574"/>
    <n v="3742"/>
    <n v="0.81026189199999998"/>
    <n v="0.153393907"/>
    <n v="3.6344201E-2"/>
  </r>
  <r>
    <x v="22"/>
    <x v="1"/>
    <x v="5"/>
    <n v="18"/>
    <n v="4723"/>
    <n v="356"/>
    <n v="5097"/>
    <n v="0.92662350400000004"/>
    <n v="6.9845006900000006E-2"/>
    <n v="3.5314891000000001E-3"/>
  </r>
  <r>
    <x v="23"/>
    <x v="1"/>
    <x v="5"/>
    <n v="635"/>
    <n v="3816"/>
    <n v="1033"/>
    <n v="5484"/>
    <n v="0.69584245079999996"/>
    <n v="0.18836615609999999"/>
    <n v="0.1157913931"/>
  </r>
  <r>
    <x v="24"/>
    <x v="1"/>
    <x v="5"/>
    <n v="213"/>
    <n v="6643"/>
    <n v="759"/>
    <n v="7615"/>
    <n v="0.87235718979999999"/>
    <n v="9.9671700599999996E-2"/>
    <n v="2.79711097E-2"/>
  </r>
  <r>
    <x v="25"/>
    <x v="1"/>
    <x v="5"/>
    <n v="217"/>
    <n v="4332"/>
    <n v="1136"/>
    <n v="5685"/>
    <n v="0.76200527699999998"/>
    <n v="0.19982409849999999"/>
    <n v="3.81706245E-2"/>
  </r>
  <r>
    <x v="26"/>
    <x v="1"/>
    <x v="5"/>
    <n v="349"/>
    <n v="7920"/>
    <n v="404"/>
    <n v="8673"/>
    <n v="0.91317883089999996"/>
    <n v="4.6581344400000002E-2"/>
    <n v="4.0239824700000003E-2"/>
  </r>
  <r>
    <x v="27"/>
    <x v="1"/>
    <x v="5"/>
    <n v="260"/>
    <n v="16124"/>
    <n v="2025"/>
    <n v="18409"/>
    <n v="0.87587593029999999"/>
    <n v="0.11000054319999999"/>
    <n v="1.4123526500000001E-2"/>
  </r>
  <r>
    <x v="28"/>
    <x v="1"/>
    <x v="5"/>
    <n v="197"/>
    <n v="4898"/>
    <n v="1051"/>
    <n v="6146"/>
    <n v="0.79694109989999995"/>
    <n v="0.1710055321"/>
    <n v="3.2053367999999999E-2"/>
  </r>
  <r>
    <x v="29"/>
    <x v="1"/>
    <x v="5"/>
    <n v="433"/>
    <n v="8865"/>
    <n v="331"/>
    <n v="9629"/>
    <n v="0.92065635059999995"/>
    <n v="3.4375324499999999E-2"/>
    <n v="4.4968324900000002E-2"/>
  </r>
  <r>
    <x v="0"/>
    <x v="0"/>
    <x v="6"/>
    <n v="15"/>
    <n v="1874"/>
    <n v="28"/>
    <n v="1917"/>
    <n v="0.97756911840000005"/>
    <n v="1.4606155500000001E-2"/>
    <n v="7.8247261000000002E-3"/>
  </r>
  <r>
    <x v="1"/>
    <x v="0"/>
    <x v="6"/>
    <n v="2"/>
    <n v="2848"/>
    <n v="2"/>
    <n v="2852"/>
    <n v="0.9985974755"/>
    <n v="7.0126230000000002E-4"/>
    <n v="7.0126230000000002E-4"/>
  </r>
  <r>
    <x v="2"/>
    <x v="0"/>
    <x v="6"/>
    <n v="179"/>
    <n v="3291"/>
    <n v="14"/>
    <n v="3484"/>
    <n v="0.94460390360000002"/>
    <n v="4.0183696999999997E-3"/>
    <n v="5.1377726800000002E-2"/>
  </r>
  <r>
    <x v="30"/>
    <x v="0"/>
    <x v="6"/>
    <n v="21"/>
    <n v="848"/>
    <n v="6"/>
    <n v="875"/>
    <n v="0.96914285710000003"/>
    <n v="6.8571429E-3"/>
    <n v="2.4E-2"/>
  </r>
  <r>
    <x v="31"/>
    <x v="0"/>
    <x v="6"/>
    <n v="2"/>
    <n v="2040"/>
    <n v="4"/>
    <n v="2046"/>
    <n v="0.99706744869999997"/>
    <n v="1.9550342000000001E-3"/>
    <n v="9.7751710000000005E-4"/>
  </r>
  <r>
    <x v="32"/>
    <x v="0"/>
    <x v="6"/>
    <n v="0"/>
    <n v="379"/>
    <n v="8"/>
    <n v="387"/>
    <n v="0.97932816540000001"/>
    <n v="2.0671834600000001E-2"/>
    <n v="0"/>
  </r>
  <r>
    <x v="3"/>
    <x v="0"/>
    <x v="6"/>
    <n v="8"/>
    <n v="5619"/>
    <n v="56"/>
    <n v="5683"/>
    <n v="0.98873834240000003"/>
    <n v="9.8539504000000003E-3"/>
    <n v="1.4077072000000001E-3"/>
  </r>
  <r>
    <x v="4"/>
    <x v="0"/>
    <x v="6"/>
    <n v="8"/>
    <n v="4115"/>
    <n v="27"/>
    <n v="4150"/>
    <n v="0.99156626510000001"/>
    <n v="6.5060240999999996E-3"/>
    <n v="1.9277108000000001E-3"/>
  </r>
  <r>
    <x v="5"/>
    <x v="0"/>
    <x v="6"/>
    <n v="49"/>
    <n v="4252"/>
    <n v="156"/>
    <n v="4457"/>
    <n v="0.95400493610000003"/>
    <n v="3.50011218E-2"/>
    <n v="1.0993942099999999E-2"/>
  </r>
  <r>
    <x v="6"/>
    <x v="0"/>
    <x v="6"/>
    <n v="7"/>
    <n v="2780"/>
    <n v="15"/>
    <n v="2802"/>
    <n v="0.99214846540000001"/>
    <n v="5.3533191000000001E-3"/>
    <n v="2.4982156E-3"/>
  </r>
  <r>
    <x v="7"/>
    <x v="0"/>
    <x v="6"/>
    <n v="67"/>
    <n v="2751"/>
    <n v="0"/>
    <n v="2818"/>
    <n v="0.97622427249999999"/>
    <n v="0"/>
    <n v="2.37757275E-2"/>
  </r>
  <r>
    <x v="8"/>
    <x v="0"/>
    <x v="6"/>
    <n v="70"/>
    <n v="1350"/>
    <n v="0"/>
    <n v="1420"/>
    <n v="0.95070422539999999"/>
    <n v="0"/>
    <n v="4.9295774600000002E-2"/>
  </r>
  <r>
    <x v="9"/>
    <x v="0"/>
    <x v="6"/>
    <n v="4"/>
    <n v="1013"/>
    <n v="12"/>
    <n v="1029"/>
    <n v="0.98445092320000005"/>
    <n v="1.1661807600000001E-2"/>
    <n v="3.8872692000000001E-3"/>
  </r>
  <r>
    <x v="10"/>
    <x v="0"/>
    <x v="6"/>
    <n v="24"/>
    <n v="6997"/>
    <n v="99"/>
    <n v="7120"/>
    <n v="0.98272471910000003"/>
    <n v="1.39044944E-2"/>
    <n v="3.3707864999999999E-3"/>
  </r>
  <r>
    <x v="11"/>
    <x v="0"/>
    <x v="6"/>
    <n v="6"/>
    <n v="6245"/>
    <n v="2"/>
    <n v="6253"/>
    <n v="0.99872061410000001"/>
    <n v="3.1984649999999999E-4"/>
    <n v="9.5953939999999995E-4"/>
  </r>
  <r>
    <x v="12"/>
    <x v="0"/>
    <x v="6"/>
    <n v="17"/>
    <n v="7374"/>
    <n v="0"/>
    <n v="7391"/>
    <n v="0.99769990529999997"/>
    <n v="0"/>
    <n v="2.3000947000000002E-3"/>
  </r>
  <r>
    <x v="13"/>
    <x v="0"/>
    <x v="6"/>
    <n v="47"/>
    <n v="7697"/>
    <n v="2"/>
    <n v="7746"/>
    <n v="0.99367415439999995"/>
    <n v="2.581978E-4"/>
    <n v="6.0676478000000001E-3"/>
  </r>
  <r>
    <x v="14"/>
    <x v="0"/>
    <x v="6"/>
    <n v="9"/>
    <n v="12864"/>
    <n v="2"/>
    <n v="12875"/>
    <n v="0.99914563109999999"/>
    <n v="1.553398E-4"/>
    <n v="6.9902910000000003E-4"/>
  </r>
  <r>
    <x v="15"/>
    <x v="0"/>
    <x v="6"/>
    <n v="38"/>
    <n v="2952"/>
    <n v="23"/>
    <n v="3013"/>
    <n v="0.97975439760000005"/>
    <n v="7.6335878000000001E-3"/>
    <n v="1.2612014600000001E-2"/>
  </r>
  <r>
    <x v="16"/>
    <x v="0"/>
    <x v="6"/>
    <n v="6"/>
    <n v="2556"/>
    <n v="63"/>
    <n v="2625"/>
    <n v="0.97371428569999996"/>
    <n v="2.4E-2"/>
    <n v="2.2857143E-3"/>
  </r>
  <r>
    <x v="17"/>
    <x v="1"/>
    <x v="6"/>
    <n v="183"/>
    <n v="1782"/>
    <n v="0"/>
    <n v="1965"/>
    <n v="0.90687022900000003"/>
    <n v="0"/>
    <n v="9.3129771E-2"/>
  </r>
  <r>
    <x v="18"/>
    <x v="1"/>
    <x v="6"/>
    <n v="145"/>
    <n v="2242"/>
    <n v="205"/>
    <n v="2592"/>
    <n v="0.86496913580000001"/>
    <n v="7.9089506200000007E-2"/>
    <n v="5.5941357999999997E-2"/>
  </r>
  <r>
    <x v="19"/>
    <x v="1"/>
    <x v="6"/>
    <n v="158"/>
    <n v="5216"/>
    <n v="300"/>
    <n v="5674"/>
    <n v="0.91928093060000005"/>
    <n v="5.28727529E-2"/>
    <n v="2.7846316499999999E-2"/>
  </r>
  <r>
    <x v="20"/>
    <x v="1"/>
    <x v="6"/>
    <n v="306"/>
    <n v="13116"/>
    <n v="903"/>
    <n v="14325"/>
    <n v="0.91560209420000005"/>
    <n v="6.3036649200000003E-2"/>
    <n v="2.1361256499999998E-2"/>
  </r>
  <r>
    <x v="21"/>
    <x v="1"/>
    <x v="6"/>
    <n v="110"/>
    <n v="3111"/>
    <n v="604"/>
    <n v="3825"/>
    <n v="0.81333333330000002"/>
    <n v="0.15790849670000001"/>
    <n v="2.8758169900000002E-2"/>
  </r>
  <r>
    <x v="22"/>
    <x v="1"/>
    <x v="6"/>
    <n v="26"/>
    <n v="4775"/>
    <n v="331"/>
    <n v="5132"/>
    <n v="0.93043647699999998"/>
    <n v="6.4497271999999994E-2"/>
    <n v="5.0662509999999999E-3"/>
  </r>
  <r>
    <x v="23"/>
    <x v="1"/>
    <x v="6"/>
    <n v="567"/>
    <n v="3847"/>
    <n v="1043"/>
    <n v="5457"/>
    <n v="0.70496609860000004"/>
    <n v="0.1911306579"/>
    <n v="0.10390324350000001"/>
  </r>
  <r>
    <x v="24"/>
    <x v="1"/>
    <x v="6"/>
    <n v="211"/>
    <n v="6846"/>
    <n v="791"/>
    <n v="7848"/>
    <n v="0.87232415900000004"/>
    <n v="0.1007900102"/>
    <n v="2.68858308E-2"/>
  </r>
  <r>
    <x v="25"/>
    <x v="1"/>
    <x v="6"/>
    <n v="249"/>
    <n v="4240"/>
    <n v="1150"/>
    <n v="5639"/>
    <n v="0.75190636639999997"/>
    <n v="0.20393686820000001"/>
    <n v="4.4156765399999999E-2"/>
  </r>
  <r>
    <x v="26"/>
    <x v="1"/>
    <x v="6"/>
    <n v="404"/>
    <n v="7678"/>
    <n v="382"/>
    <n v="8464"/>
    <n v="0.90713610590000004"/>
    <n v="4.5132325100000002E-2"/>
    <n v="4.7731569000000001E-2"/>
  </r>
  <r>
    <x v="27"/>
    <x v="1"/>
    <x v="6"/>
    <n v="267"/>
    <n v="17249"/>
    <n v="2157"/>
    <n v="19673"/>
    <n v="0.87678544199999997"/>
    <n v="0.1096426574"/>
    <n v="1.3571900600000001E-2"/>
  </r>
  <r>
    <x v="28"/>
    <x v="1"/>
    <x v="6"/>
    <n v="176"/>
    <n v="5183"/>
    <n v="1248"/>
    <n v="6607"/>
    <n v="0.78447101559999999"/>
    <n v="0.1888905706"/>
    <n v="2.66384138E-2"/>
  </r>
  <r>
    <x v="29"/>
    <x v="1"/>
    <x v="6"/>
    <n v="462"/>
    <n v="8655"/>
    <n v="382"/>
    <n v="9499"/>
    <n v="0.91114854199999995"/>
    <n v="4.0214759400000001E-2"/>
    <n v="4.86366986E-2"/>
  </r>
  <r>
    <x v="0"/>
    <x v="0"/>
    <x v="7"/>
    <n v="31"/>
    <n v="2342"/>
    <n v="56"/>
    <n v="2429"/>
    <n v="0.96418279129999995"/>
    <n v="2.3054755E-2"/>
    <n v="1.2762453700000001E-2"/>
  </r>
  <r>
    <x v="1"/>
    <x v="0"/>
    <x v="7"/>
    <n v="3"/>
    <n v="3176"/>
    <n v="0"/>
    <n v="3179"/>
    <n v="0.99905630700000003"/>
    <n v="0"/>
    <n v="9.4369300000000001E-4"/>
  </r>
  <r>
    <x v="2"/>
    <x v="0"/>
    <x v="7"/>
    <n v="178"/>
    <n v="3390"/>
    <n v="13"/>
    <n v="3581"/>
    <n v="0.9466629433"/>
    <n v="3.6302709E-3"/>
    <n v="4.97067858E-2"/>
  </r>
  <r>
    <x v="30"/>
    <x v="0"/>
    <x v="7"/>
    <n v="6"/>
    <n v="862"/>
    <n v="4"/>
    <n v="872"/>
    <n v="0.98853211009999997"/>
    <n v="4.5871560000000002E-3"/>
    <n v="6.8807338999999999E-3"/>
  </r>
  <r>
    <x v="31"/>
    <x v="0"/>
    <x v="7"/>
    <n v="4"/>
    <n v="2282"/>
    <n v="6"/>
    <n v="2292"/>
    <n v="0.99563699829999996"/>
    <n v="2.6178009999999999E-3"/>
    <n v="1.7452006999999999E-3"/>
  </r>
  <r>
    <x v="32"/>
    <x v="0"/>
    <x v="7"/>
    <n v="0"/>
    <n v="380"/>
    <n v="15"/>
    <n v="395"/>
    <n v="0.96202531650000001"/>
    <n v="3.7974683500000002E-2"/>
    <n v="0"/>
  </r>
  <r>
    <x v="3"/>
    <x v="0"/>
    <x v="7"/>
    <n v="10"/>
    <n v="5540"/>
    <n v="43"/>
    <n v="5593"/>
    <n v="0.99052386910000001"/>
    <n v="7.6881817000000003E-3"/>
    <n v="1.7879491999999999E-3"/>
  </r>
  <r>
    <x v="4"/>
    <x v="0"/>
    <x v="7"/>
    <n v="6"/>
    <n v="4017"/>
    <n v="29"/>
    <n v="4052"/>
    <n v="0.9913622902"/>
    <n v="7.1569594999999998E-3"/>
    <n v="1.4807501999999999E-3"/>
  </r>
  <r>
    <x v="5"/>
    <x v="0"/>
    <x v="7"/>
    <n v="89"/>
    <n v="4272"/>
    <n v="123"/>
    <n v="4484"/>
    <n v="0.95272078500000001"/>
    <n v="2.7430865299999999E-2"/>
    <n v="1.98483497E-2"/>
  </r>
  <r>
    <x v="6"/>
    <x v="0"/>
    <x v="7"/>
    <n v="6"/>
    <n v="2586"/>
    <n v="10"/>
    <n v="2602"/>
    <n v="0.99385088389999998"/>
    <n v="3.8431975000000002E-3"/>
    <n v="2.3059184999999999E-3"/>
  </r>
  <r>
    <x v="7"/>
    <x v="0"/>
    <x v="7"/>
    <n v="59"/>
    <n v="2899"/>
    <n v="0"/>
    <n v="2958"/>
    <n v="0.98005409060000004"/>
    <n v="0"/>
    <n v="1.99459094E-2"/>
  </r>
  <r>
    <x v="8"/>
    <x v="0"/>
    <x v="7"/>
    <n v="105"/>
    <n v="1288"/>
    <n v="36"/>
    <n v="1429"/>
    <n v="0.90132960110000004"/>
    <n v="2.5192442299999999E-2"/>
    <n v="7.3477956600000005E-2"/>
  </r>
  <r>
    <x v="9"/>
    <x v="0"/>
    <x v="7"/>
    <n v="9"/>
    <n v="1079"/>
    <n v="9"/>
    <n v="1097"/>
    <n v="0.98359161350000002"/>
    <n v="8.2041933000000008E-3"/>
    <n v="8.2041933000000008E-3"/>
  </r>
  <r>
    <x v="10"/>
    <x v="0"/>
    <x v="7"/>
    <n v="31"/>
    <n v="7490"/>
    <n v="132"/>
    <n v="7653"/>
    <n v="0.97870116289999998"/>
    <n v="1.7248138E-2"/>
    <n v="4.0506991000000001E-3"/>
  </r>
  <r>
    <x v="11"/>
    <x v="0"/>
    <x v="7"/>
    <n v="3"/>
    <n v="6646"/>
    <n v="12"/>
    <n v="6661"/>
    <n v="0.99774808589999997"/>
    <n v="1.8015313E-3"/>
    <n v="4.5038279999999999E-4"/>
  </r>
  <r>
    <x v="12"/>
    <x v="0"/>
    <x v="7"/>
    <n v="780"/>
    <n v="6303"/>
    <n v="170"/>
    <n v="7253"/>
    <n v="0.86901971600000005"/>
    <n v="2.34385771E-2"/>
    <n v="0.10754170690000001"/>
  </r>
  <r>
    <x v="13"/>
    <x v="0"/>
    <x v="7"/>
    <n v="1292"/>
    <n v="6189"/>
    <n v="261"/>
    <n v="7742"/>
    <n v="0.7994058383"/>
    <n v="3.3712219100000003E-2"/>
    <n v="0.16688194270000001"/>
  </r>
  <r>
    <x v="14"/>
    <x v="0"/>
    <x v="7"/>
    <n v="1115"/>
    <n v="11688"/>
    <n v="169"/>
    <n v="12972"/>
    <n v="0.90101757630000001"/>
    <n v="1.3028060399999999E-2"/>
    <n v="8.5954363199999995E-2"/>
  </r>
  <r>
    <x v="15"/>
    <x v="0"/>
    <x v="7"/>
    <n v="19"/>
    <n v="3194"/>
    <n v="21"/>
    <n v="3234"/>
    <n v="0.98763141619999995"/>
    <n v="6.4935065000000002E-3"/>
    <n v="5.8750772999999999E-3"/>
  </r>
  <r>
    <x v="16"/>
    <x v="0"/>
    <x v="7"/>
    <n v="12"/>
    <n v="2907"/>
    <n v="75"/>
    <n v="2994"/>
    <n v="0.97094188380000002"/>
    <n v="2.5050100200000001E-2"/>
    <n v="4.0080159999999997E-3"/>
  </r>
  <r>
    <x v="17"/>
    <x v="1"/>
    <x v="7"/>
    <n v="245"/>
    <n v="1545"/>
    <n v="116"/>
    <n v="1906"/>
    <n v="0.81059811120000003"/>
    <n v="6.0860440699999997E-2"/>
    <n v="0.12854144810000001"/>
  </r>
  <r>
    <x v="18"/>
    <x v="1"/>
    <x v="7"/>
    <n v="190"/>
    <n v="2126"/>
    <n v="232"/>
    <n v="2548"/>
    <n v="0.83437990579999999"/>
    <n v="9.1051805299999997E-2"/>
    <n v="7.4568288900000002E-2"/>
  </r>
  <r>
    <x v="19"/>
    <x v="1"/>
    <x v="7"/>
    <n v="134"/>
    <n v="4840"/>
    <n v="309"/>
    <n v="5283"/>
    <n v="0.91614612910000004"/>
    <n v="5.8489494599999997E-2"/>
    <n v="2.5364376300000002E-2"/>
  </r>
  <r>
    <x v="20"/>
    <x v="1"/>
    <x v="7"/>
    <n v="273"/>
    <n v="13362"/>
    <n v="816"/>
    <n v="14451"/>
    <n v="0.92464189330000002"/>
    <n v="5.6466680499999998E-2"/>
    <n v="1.8891426199999999E-2"/>
  </r>
  <r>
    <x v="21"/>
    <x v="1"/>
    <x v="7"/>
    <n v="97"/>
    <n v="3380"/>
    <n v="595"/>
    <n v="4072"/>
    <n v="0.83005893909999995"/>
    <n v="0.14611984280000001"/>
    <n v="2.38212181E-2"/>
  </r>
  <r>
    <x v="22"/>
    <x v="1"/>
    <x v="7"/>
    <n v="30"/>
    <n v="4473"/>
    <n v="300"/>
    <n v="4803"/>
    <n v="0.9312929419"/>
    <n v="6.24609619E-2"/>
    <n v="6.2460961999999997E-3"/>
  </r>
  <r>
    <x v="23"/>
    <x v="1"/>
    <x v="7"/>
    <n v="467"/>
    <n v="3842"/>
    <n v="966"/>
    <n v="5275"/>
    <n v="0.72834123220000002"/>
    <n v="0.18312796210000001"/>
    <n v="8.8530805700000006E-2"/>
  </r>
  <r>
    <x v="24"/>
    <x v="1"/>
    <x v="7"/>
    <n v="192"/>
    <n v="6933"/>
    <n v="823"/>
    <n v="7948"/>
    <n v="0.87229491699999995"/>
    <n v="0.1035480624"/>
    <n v="2.4157020599999999E-2"/>
  </r>
  <r>
    <x v="25"/>
    <x v="1"/>
    <x v="7"/>
    <n v="255"/>
    <n v="4105"/>
    <n v="1119"/>
    <n v="5479"/>
    <n v="0.74922431099999998"/>
    <n v="0.20423434930000001"/>
    <n v="4.6541339700000003E-2"/>
  </r>
  <r>
    <x v="26"/>
    <x v="1"/>
    <x v="7"/>
    <n v="315"/>
    <n v="7649"/>
    <n v="397"/>
    <n v="8361"/>
    <n v="0.91484272219999996"/>
    <n v="4.7482358600000003E-2"/>
    <n v="3.7674919299999998E-2"/>
  </r>
  <r>
    <x v="27"/>
    <x v="1"/>
    <x v="7"/>
    <n v="239"/>
    <n v="17927"/>
    <n v="2241"/>
    <n v="20407"/>
    <n v="0.87847307299999999"/>
    <n v="0.1098152595"/>
    <n v="1.17116676E-2"/>
  </r>
  <r>
    <x v="28"/>
    <x v="1"/>
    <x v="7"/>
    <n v="177"/>
    <n v="5264"/>
    <n v="1400"/>
    <n v="6841"/>
    <n v="0.76947814650000002"/>
    <n v="0.2046484432"/>
    <n v="2.58734103E-2"/>
  </r>
  <r>
    <x v="29"/>
    <x v="1"/>
    <x v="7"/>
    <n v="436"/>
    <n v="8367"/>
    <n v="510"/>
    <n v="9313"/>
    <n v="0.89842156129999995"/>
    <n v="5.4762160400000003E-2"/>
    <n v="4.68162783E-2"/>
  </r>
  <r>
    <x v="0"/>
    <x v="0"/>
    <x v="8"/>
    <n v="33"/>
    <n v="2309"/>
    <n v="59"/>
    <n v="2401"/>
    <n v="0.96168263220000005"/>
    <n v="2.45730945E-2"/>
    <n v="1.37442732E-2"/>
  </r>
  <r>
    <x v="1"/>
    <x v="0"/>
    <x v="8"/>
    <n v="1"/>
    <n v="3211"/>
    <n v="3"/>
    <n v="3215"/>
    <n v="0.99875583199999995"/>
    <n v="9.3312600000000005E-4"/>
    <n v="3.1104199999999998E-4"/>
  </r>
  <r>
    <x v="2"/>
    <x v="0"/>
    <x v="8"/>
    <n v="140"/>
    <n v="3531"/>
    <n v="13"/>
    <n v="3684"/>
    <n v="0.95846905540000005"/>
    <n v="3.5287730999999998E-3"/>
    <n v="3.8002171600000002E-2"/>
  </r>
  <r>
    <x v="30"/>
    <x v="0"/>
    <x v="8"/>
    <n v="4"/>
    <n v="855"/>
    <n v="9"/>
    <n v="868"/>
    <n v="0.98502304149999997"/>
    <n v="1.03686636E-2"/>
    <n v="4.6082948999999996E-3"/>
  </r>
  <r>
    <x v="31"/>
    <x v="0"/>
    <x v="8"/>
    <n v="1"/>
    <n v="2252"/>
    <n v="5"/>
    <n v="2258"/>
    <n v="0.99734278119999997"/>
    <n v="2.214349E-3"/>
    <n v="4.4286979999999998E-4"/>
  </r>
  <r>
    <x v="32"/>
    <x v="0"/>
    <x v="8"/>
    <n v="1"/>
    <n v="341"/>
    <n v="14"/>
    <n v="356"/>
    <n v="0.95786516850000003"/>
    <n v="3.9325842700000002E-2"/>
    <n v="2.8089887999999999E-3"/>
  </r>
  <r>
    <x v="3"/>
    <x v="0"/>
    <x v="8"/>
    <n v="7"/>
    <n v="5401"/>
    <n v="36"/>
    <n v="5444"/>
    <n v="0.99210139600000002"/>
    <n v="6.6127846999999998E-3"/>
    <n v="1.2858193E-3"/>
  </r>
  <r>
    <x v="4"/>
    <x v="0"/>
    <x v="8"/>
    <n v="9"/>
    <n v="3716"/>
    <n v="29"/>
    <n v="3754"/>
    <n v="0.98987746399999998"/>
    <n v="7.7250931999999998E-3"/>
    <n v="2.3974426999999999E-3"/>
  </r>
  <r>
    <x v="5"/>
    <x v="0"/>
    <x v="8"/>
    <n v="89"/>
    <n v="4494"/>
    <n v="147"/>
    <n v="4730"/>
    <n v="0.95010570819999995"/>
    <n v="3.1078224099999999E-2"/>
    <n v="1.8816067700000001E-2"/>
  </r>
  <r>
    <x v="6"/>
    <x v="0"/>
    <x v="8"/>
    <n v="7"/>
    <n v="2548"/>
    <n v="10"/>
    <n v="2565"/>
    <n v="0.99337231969999995"/>
    <n v="3.8986354999999999E-3"/>
    <n v="2.7290448000000002E-3"/>
  </r>
  <r>
    <x v="7"/>
    <x v="0"/>
    <x v="8"/>
    <n v="32"/>
    <n v="3031"/>
    <n v="27"/>
    <n v="3090"/>
    <n v="0.98090614890000005"/>
    <n v="8.7378640999999993E-3"/>
    <n v="1.03559871E-2"/>
  </r>
  <r>
    <x v="8"/>
    <x v="0"/>
    <x v="8"/>
    <n v="10"/>
    <n v="1327"/>
    <n v="42"/>
    <n v="1379"/>
    <n v="0.96229151560000004"/>
    <n v="3.04568528E-2"/>
    <n v="7.2516315999999999E-3"/>
  </r>
  <r>
    <x v="9"/>
    <x v="0"/>
    <x v="8"/>
    <n v="7"/>
    <n v="1019"/>
    <n v="7"/>
    <n v="1033"/>
    <n v="0.98644724100000003"/>
    <n v="6.7763794999999996E-3"/>
    <n v="6.7763794999999996E-3"/>
  </r>
  <r>
    <x v="10"/>
    <x v="0"/>
    <x v="8"/>
    <n v="70"/>
    <n v="7814"/>
    <n v="170"/>
    <n v="8054"/>
    <n v="0.97020114229999999"/>
    <n v="2.1107524200000002E-2"/>
    <n v="8.6913335000000005E-3"/>
  </r>
  <r>
    <x v="11"/>
    <x v="0"/>
    <x v="8"/>
    <n v="4"/>
    <n v="6714"/>
    <n v="10"/>
    <n v="6728"/>
    <n v="0.99791914390000003"/>
    <n v="1.4863258E-3"/>
    <n v="5.9453030000000001E-4"/>
  </r>
  <r>
    <x v="12"/>
    <x v="0"/>
    <x v="8"/>
    <n v="464"/>
    <n v="6258"/>
    <n v="174"/>
    <n v="6896"/>
    <n v="0.90748259860000002"/>
    <n v="2.5232018599999999E-2"/>
    <n v="6.7285382800000001E-2"/>
  </r>
  <r>
    <x v="13"/>
    <x v="0"/>
    <x v="8"/>
    <n v="672"/>
    <n v="6422"/>
    <n v="237"/>
    <n v="7331"/>
    <n v="0.8760060019"/>
    <n v="3.23284681E-2"/>
    <n v="9.1665529900000001E-2"/>
  </r>
  <r>
    <x v="14"/>
    <x v="0"/>
    <x v="8"/>
    <n v="774"/>
    <n v="11443"/>
    <n v="160"/>
    <n v="12377"/>
    <n v="0.92453744849999997"/>
    <n v="1.2927203700000001E-2"/>
    <n v="6.2535347800000002E-2"/>
  </r>
  <r>
    <x v="15"/>
    <x v="0"/>
    <x v="8"/>
    <n v="22"/>
    <n v="2809"/>
    <n v="31"/>
    <n v="2862"/>
    <n v="0.98148148150000003"/>
    <n v="1.0831586299999999E-2"/>
    <n v="7.6869321999999997E-3"/>
  </r>
  <r>
    <x v="16"/>
    <x v="0"/>
    <x v="8"/>
    <n v="16"/>
    <n v="2983"/>
    <n v="103"/>
    <n v="3102"/>
    <n v="0.96163765310000004"/>
    <n v="3.3204384300000001E-2"/>
    <n v="5.1579625999999996E-3"/>
  </r>
  <r>
    <x v="17"/>
    <x v="1"/>
    <x v="8"/>
    <n v="19"/>
    <n v="1469"/>
    <n v="108"/>
    <n v="1596"/>
    <n v="0.92042606520000003"/>
    <n v="6.7669172900000005E-2"/>
    <n v="1.19047619E-2"/>
  </r>
  <r>
    <x v="18"/>
    <x v="1"/>
    <x v="8"/>
    <n v="178"/>
    <n v="2568"/>
    <n v="292"/>
    <n v="3038"/>
    <n v="0.84529295589999998"/>
    <n v="9.6115865699999997E-2"/>
    <n v="5.8591178399999999E-2"/>
  </r>
  <r>
    <x v="19"/>
    <x v="1"/>
    <x v="8"/>
    <n v="161"/>
    <n v="4651"/>
    <n v="324"/>
    <n v="5136"/>
    <n v="0.90556853579999996"/>
    <n v="6.3084112100000006E-2"/>
    <n v="3.1347352000000002E-2"/>
  </r>
  <r>
    <x v="20"/>
    <x v="1"/>
    <x v="8"/>
    <n v="276"/>
    <n v="13688"/>
    <n v="775"/>
    <n v="14739"/>
    <n v="0.92869258430000001"/>
    <n v="5.2581586299999997E-2"/>
    <n v="1.8725829400000001E-2"/>
  </r>
  <r>
    <x v="21"/>
    <x v="1"/>
    <x v="8"/>
    <n v="105"/>
    <n v="3403"/>
    <n v="595"/>
    <n v="4103"/>
    <n v="0.82939312700000001"/>
    <n v="0.14501584209999999"/>
    <n v="2.5591031E-2"/>
  </r>
  <r>
    <x v="22"/>
    <x v="1"/>
    <x v="8"/>
    <n v="13"/>
    <n v="4468"/>
    <n v="317"/>
    <n v="4798"/>
    <n v="0.93122134219999997"/>
    <n v="6.6069195499999997E-2"/>
    <n v="2.7094622999999998E-3"/>
  </r>
  <r>
    <x v="23"/>
    <x v="1"/>
    <x v="8"/>
    <n v="960"/>
    <n v="3225"/>
    <n v="857"/>
    <n v="5042"/>
    <n v="0.6396271321"/>
    <n v="0.16997223319999999"/>
    <n v="0.19040063469999999"/>
  </r>
  <r>
    <x v="24"/>
    <x v="1"/>
    <x v="8"/>
    <n v="199"/>
    <n v="6918"/>
    <n v="785"/>
    <n v="7902"/>
    <n v="0.87547456339999996"/>
    <n v="9.9341938699999993E-2"/>
    <n v="2.5183497799999999E-2"/>
  </r>
  <r>
    <x v="25"/>
    <x v="1"/>
    <x v="8"/>
    <n v="235"/>
    <n v="4257"/>
    <n v="1124"/>
    <n v="5616"/>
    <n v="0.75801282049999996"/>
    <n v="0.20014245010000001"/>
    <n v="4.1844729300000001E-2"/>
  </r>
  <r>
    <x v="26"/>
    <x v="1"/>
    <x v="8"/>
    <n v="275"/>
    <n v="7659"/>
    <n v="366"/>
    <n v="8300"/>
    <n v="0.92277108429999999"/>
    <n v="4.4096385500000002E-2"/>
    <n v="3.3132530100000002E-2"/>
  </r>
  <r>
    <x v="27"/>
    <x v="1"/>
    <x v="8"/>
    <n v="251"/>
    <n v="18248"/>
    <n v="2365"/>
    <n v="20864"/>
    <n v="0.87461656440000002"/>
    <n v="0.11335314420000001"/>
    <n v="1.20302914E-2"/>
  </r>
  <r>
    <x v="28"/>
    <x v="1"/>
    <x v="8"/>
    <n v="208"/>
    <n v="5384"/>
    <n v="1505"/>
    <n v="7097"/>
    <n v="0.75863040719999997"/>
    <n v="0.2120614344"/>
    <n v="2.9308158399999999E-2"/>
  </r>
  <r>
    <x v="29"/>
    <x v="1"/>
    <x v="8"/>
    <n v="411"/>
    <n v="8180"/>
    <n v="542"/>
    <n v="9133"/>
    <n v="0.89565312600000002"/>
    <n v="5.9345231599999999E-2"/>
    <n v="4.50016424E-2"/>
  </r>
  <r>
    <x v="0"/>
    <x v="0"/>
    <x v="9"/>
    <n v="44"/>
    <n v="2265"/>
    <n v="66"/>
    <n v="2375"/>
    <n v="0.95368421049999996"/>
    <n v="2.7789473700000001E-2"/>
    <n v="1.8526315799999998E-2"/>
  </r>
  <r>
    <x v="1"/>
    <x v="0"/>
    <x v="9"/>
    <n v="3"/>
    <n v="3139"/>
    <n v="0"/>
    <n v="3142"/>
    <n v="0.99904519410000003"/>
    <n v="0"/>
    <n v="9.5480589999999996E-4"/>
  </r>
  <r>
    <x v="2"/>
    <x v="0"/>
    <x v="9"/>
    <n v="140"/>
    <n v="3698"/>
    <n v="25"/>
    <n v="3863"/>
    <n v="0.95728708259999995"/>
    <n v="6.4716542000000004E-3"/>
    <n v="3.62412633E-2"/>
  </r>
  <r>
    <x v="30"/>
    <x v="0"/>
    <x v="9"/>
    <n v="3"/>
    <n v="864"/>
    <n v="11"/>
    <n v="878"/>
    <n v="0.9840546697"/>
    <n v="1.25284738E-2"/>
    <n v="3.4168565E-3"/>
  </r>
  <r>
    <x v="31"/>
    <x v="0"/>
    <x v="9"/>
    <n v="1"/>
    <n v="2276"/>
    <n v="7"/>
    <n v="2284"/>
    <n v="0.99649737299999996"/>
    <n v="3.0647985999999999E-3"/>
    <n v="4.378284E-4"/>
  </r>
  <r>
    <x v="32"/>
    <x v="0"/>
    <x v="9"/>
    <n v="0"/>
    <n v="555"/>
    <n v="34"/>
    <n v="589"/>
    <n v="0.94227504240000004"/>
    <n v="5.7724957600000001E-2"/>
    <n v="0"/>
  </r>
  <r>
    <x v="3"/>
    <x v="0"/>
    <x v="9"/>
    <n v="0"/>
    <n v="5350"/>
    <n v="35"/>
    <n v="5385"/>
    <n v="0.99350046430000005"/>
    <n v="6.4995356999999997E-3"/>
    <n v="0"/>
  </r>
  <r>
    <x v="4"/>
    <x v="0"/>
    <x v="9"/>
    <n v="1"/>
    <n v="3696"/>
    <n v="30"/>
    <n v="3727"/>
    <n v="0.99168231819999997"/>
    <n v="8.0493695000000004E-3"/>
    <n v="2.6831229999999998E-4"/>
  </r>
  <r>
    <x v="5"/>
    <x v="0"/>
    <x v="9"/>
    <n v="1"/>
    <n v="4493"/>
    <n v="134"/>
    <n v="4628"/>
    <n v="0.97082973210000001"/>
    <n v="2.8954191899999999E-2"/>
    <n v="2.160761E-4"/>
  </r>
  <r>
    <x v="6"/>
    <x v="0"/>
    <x v="9"/>
    <n v="5"/>
    <n v="2567"/>
    <n v="17"/>
    <n v="2589"/>
    <n v="0.99150251060000005"/>
    <n v="6.5662417999999998E-3"/>
    <n v="1.9312476000000001E-3"/>
  </r>
  <r>
    <x v="7"/>
    <x v="0"/>
    <x v="9"/>
    <n v="67"/>
    <n v="3135"/>
    <n v="0"/>
    <n v="3202"/>
    <n v="0.97907557779999999"/>
    <n v="0"/>
    <n v="2.0924422200000001E-2"/>
  </r>
  <r>
    <x v="8"/>
    <x v="0"/>
    <x v="9"/>
    <n v="24"/>
    <n v="1321"/>
    <n v="46"/>
    <n v="1391"/>
    <n v="0.94967649170000001"/>
    <n v="3.3069734000000003E-2"/>
    <n v="1.72537743E-2"/>
  </r>
  <r>
    <x v="9"/>
    <x v="0"/>
    <x v="9"/>
    <n v="1"/>
    <n v="983"/>
    <n v="14"/>
    <n v="998"/>
    <n v="0.98496993990000004"/>
    <n v="1.40280561E-2"/>
    <n v="1.0020039999999999E-3"/>
  </r>
  <r>
    <x v="10"/>
    <x v="0"/>
    <x v="9"/>
    <n v="39"/>
    <n v="8275"/>
    <n v="168"/>
    <n v="8482"/>
    <n v="0.97559537839999999"/>
    <n v="1.9806649400000001E-2"/>
    <n v="4.5979721999999997E-3"/>
  </r>
  <r>
    <x v="11"/>
    <x v="0"/>
    <x v="9"/>
    <n v="5"/>
    <n v="6791"/>
    <n v="11"/>
    <n v="6807"/>
    <n v="0.99764947849999996"/>
    <n v="1.6159835E-3"/>
    <n v="7.3453799999999997E-4"/>
  </r>
  <r>
    <x v="12"/>
    <x v="0"/>
    <x v="9"/>
    <n v="314"/>
    <n v="6101"/>
    <n v="118"/>
    <n v="6533"/>
    <n v="0.9338741773"/>
    <n v="1.8062146000000001E-2"/>
    <n v="4.8063676700000002E-2"/>
  </r>
  <r>
    <x v="13"/>
    <x v="0"/>
    <x v="9"/>
    <n v="421"/>
    <n v="6746"/>
    <n v="273"/>
    <n v="7440"/>
    <n v="0.90672043010000003"/>
    <n v="3.6693548399999998E-2"/>
    <n v="5.65860215E-2"/>
  </r>
  <r>
    <x v="14"/>
    <x v="0"/>
    <x v="9"/>
    <n v="617"/>
    <n v="11090"/>
    <n v="171"/>
    <n v="11878"/>
    <n v="0.93365886509999996"/>
    <n v="1.4396363000000001E-2"/>
    <n v="5.1944771799999997E-2"/>
  </r>
  <r>
    <x v="15"/>
    <x v="0"/>
    <x v="9"/>
    <n v="10"/>
    <n v="2697"/>
    <n v="14"/>
    <n v="2721"/>
    <n v="0.99117971329999999"/>
    <n v="5.1451672E-3"/>
    <n v="3.6751193999999998E-3"/>
  </r>
  <r>
    <x v="16"/>
    <x v="0"/>
    <x v="9"/>
    <n v="13"/>
    <n v="2590"/>
    <n v="102"/>
    <n v="2705"/>
    <n v="0.95748613680000005"/>
    <n v="3.7707948200000001E-2"/>
    <n v="4.805915E-3"/>
  </r>
  <r>
    <x v="17"/>
    <x v="1"/>
    <x v="9"/>
    <n v="12"/>
    <n v="1511"/>
    <n v="134"/>
    <n v="1657"/>
    <n v="0.91188895589999996"/>
    <n v="8.0869040399999995E-2"/>
    <n v="7.2420035999999997E-3"/>
  </r>
  <r>
    <x v="18"/>
    <x v="1"/>
    <x v="9"/>
    <n v="163"/>
    <n v="2102"/>
    <n v="306"/>
    <n v="2571"/>
    <n v="0.81758070790000004"/>
    <n v="0.1190198366"/>
    <n v="6.3399455499999993E-2"/>
  </r>
  <r>
    <x v="19"/>
    <x v="1"/>
    <x v="9"/>
    <n v="114"/>
    <n v="4775"/>
    <n v="402"/>
    <n v="5291"/>
    <n v="0.90247590249999998"/>
    <n v="7.5978076000000005E-2"/>
    <n v="2.1546021499999998E-2"/>
  </r>
  <r>
    <x v="20"/>
    <x v="1"/>
    <x v="9"/>
    <n v="286"/>
    <n v="13584"/>
    <n v="739"/>
    <n v="14609"/>
    <n v="0.9298377712"/>
    <n v="5.0585255699999998E-2"/>
    <n v="1.9576973099999999E-2"/>
  </r>
  <r>
    <x v="21"/>
    <x v="1"/>
    <x v="9"/>
    <n v="84"/>
    <n v="3578"/>
    <n v="628"/>
    <n v="4290"/>
    <n v="0.83403263400000005"/>
    <n v="0.1463869464"/>
    <n v="1.9580419599999999E-2"/>
  </r>
  <r>
    <x v="22"/>
    <x v="1"/>
    <x v="9"/>
    <n v="50"/>
    <n v="4517"/>
    <n v="323"/>
    <n v="4890"/>
    <n v="0.9237218814"/>
    <n v="6.6053169699999997E-2"/>
    <n v="1.0224948899999999E-2"/>
  </r>
  <r>
    <x v="23"/>
    <x v="1"/>
    <x v="9"/>
    <n v="1283"/>
    <n v="2956"/>
    <n v="835"/>
    <n v="5074"/>
    <n v="0.5825778479"/>
    <n v="0.16456444619999999"/>
    <n v="0.25285770600000002"/>
  </r>
  <r>
    <x v="24"/>
    <x v="1"/>
    <x v="9"/>
    <n v="192"/>
    <n v="7388"/>
    <n v="804"/>
    <n v="8384"/>
    <n v="0.88120229009999995"/>
    <n v="9.5896946600000005E-2"/>
    <n v="2.2900763399999999E-2"/>
  </r>
  <r>
    <x v="25"/>
    <x v="1"/>
    <x v="9"/>
    <n v="216"/>
    <n v="4243"/>
    <n v="1107"/>
    <n v="5566"/>
    <n v="0.76230686309999995"/>
    <n v="0.19888609409999999"/>
    <n v="3.8807042799999997E-2"/>
  </r>
  <r>
    <x v="26"/>
    <x v="1"/>
    <x v="9"/>
    <n v="245"/>
    <n v="7705"/>
    <n v="423"/>
    <n v="8373"/>
    <n v="0.920219754"/>
    <n v="5.0519527100000003E-2"/>
    <n v="2.9260719000000001E-2"/>
  </r>
  <r>
    <x v="27"/>
    <x v="1"/>
    <x v="9"/>
    <n v="226"/>
    <n v="18592"/>
    <n v="2492"/>
    <n v="21310"/>
    <n v="0.87245424680000006"/>
    <n v="0.11694040360000001"/>
    <n v="1.0605349599999999E-2"/>
  </r>
  <r>
    <x v="28"/>
    <x v="1"/>
    <x v="9"/>
    <n v="184"/>
    <n v="5580"/>
    <n v="1564"/>
    <n v="7328"/>
    <n v="0.76146288210000002"/>
    <n v="0.2134279476"/>
    <n v="2.5109170300000001E-2"/>
  </r>
  <r>
    <x v="29"/>
    <x v="1"/>
    <x v="9"/>
    <n v="417"/>
    <n v="8386"/>
    <n v="589"/>
    <n v="9392"/>
    <n v="0.89288756390000001"/>
    <n v="6.2712947199999994E-2"/>
    <n v="4.4399488899999999E-2"/>
  </r>
  <r>
    <x v="0"/>
    <x v="0"/>
    <x v="10"/>
    <n v="46"/>
    <n v="2385"/>
    <n v="77"/>
    <n v="2508"/>
    <n v="0.95095693780000001"/>
    <n v="3.07017544E-2"/>
    <n v="1.8341307800000001E-2"/>
  </r>
  <r>
    <x v="1"/>
    <x v="0"/>
    <x v="10"/>
    <n v="5"/>
    <n v="2789"/>
    <n v="1"/>
    <n v="2795"/>
    <n v="0.99785330949999995"/>
    <n v="3.577818E-4"/>
    <n v="1.7889087999999999E-3"/>
  </r>
  <r>
    <x v="2"/>
    <x v="0"/>
    <x v="10"/>
    <n v="121"/>
    <n v="3756"/>
    <n v="23"/>
    <n v="3900"/>
    <n v="0.96307692310000004"/>
    <n v="5.8974359000000002E-3"/>
    <n v="3.1025641E-2"/>
  </r>
  <r>
    <x v="30"/>
    <x v="0"/>
    <x v="10"/>
    <n v="1"/>
    <n v="869"/>
    <n v="7"/>
    <n v="877"/>
    <n v="0.99087799320000003"/>
    <n v="7.9817559999999996E-3"/>
    <n v="1.1402509000000001E-3"/>
  </r>
  <r>
    <x v="31"/>
    <x v="0"/>
    <x v="10"/>
    <n v="0"/>
    <n v="2452"/>
    <n v="4"/>
    <n v="2456"/>
    <n v="0.99837133550000001"/>
    <n v="1.6286645000000001E-3"/>
    <n v="0"/>
  </r>
  <r>
    <x v="32"/>
    <x v="0"/>
    <x v="10"/>
    <n v="0"/>
    <n v="568"/>
    <n v="35"/>
    <n v="603"/>
    <n v="0.94195688229999996"/>
    <n v="5.8043117700000001E-2"/>
    <n v="0"/>
  </r>
  <r>
    <x v="3"/>
    <x v="0"/>
    <x v="10"/>
    <n v="1"/>
    <n v="5155"/>
    <n v="42"/>
    <n v="5198"/>
    <n v="0.99172758750000001"/>
    <n v="8.0800308000000005E-3"/>
    <n v="1.9238170000000001E-4"/>
  </r>
  <r>
    <x v="4"/>
    <x v="0"/>
    <x v="10"/>
    <n v="0"/>
    <n v="3688"/>
    <n v="26"/>
    <n v="3714"/>
    <n v="0.99299946149999996"/>
    <n v="7.0005385000000003E-3"/>
    <n v="0"/>
  </r>
  <r>
    <x v="5"/>
    <x v="0"/>
    <x v="10"/>
    <n v="0"/>
    <n v="4512"/>
    <n v="132"/>
    <n v="4644"/>
    <n v="0.97157622740000005"/>
    <n v="2.8423772600000001E-2"/>
    <n v="0"/>
  </r>
  <r>
    <x v="6"/>
    <x v="0"/>
    <x v="10"/>
    <n v="9"/>
    <n v="2550"/>
    <n v="16"/>
    <n v="2575"/>
    <n v="0.99029126209999996"/>
    <n v="6.2135921999999996E-3"/>
    <n v="3.4951456000000001E-3"/>
  </r>
  <r>
    <x v="7"/>
    <x v="0"/>
    <x v="10"/>
    <n v="89"/>
    <n v="3133"/>
    <n v="0"/>
    <n v="3222"/>
    <n v="0.97237740530000005"/>
    <n v="0"/>
    <n v="2.7622594699999999E-2"/>
  </r>
  <r>
    <x v="8"/>
    <x v="0"/>
    <x v="10"/>
    <n v="31"/>
    <n v="1207"/>
    <n v="57"/>
    <n v="1295"/>
    <n v="0.93204633199999998"/>
    <n v="4.4015444000000001E-2"/>
    <n v="2.39382239E-2"/>
  </r>
  <r>
    <x v="9"/>
    <x v="0"/>
    <x v="10"/>
    <n v="1041"/>
    <m/>
    <m/>
    <n v="1041"/>
    <m/>
    <m/>
    <n v="1"/>
  </r>
  <r>
    <x v="10"/>
    <x v="0"/>
    <x v="10"/>
    <n v="39"/>
    <n v="8706"/>
    <n v="192"/>
    <n v="8937"/>
    <n v="0.97415240010000004"/>
    <n v="2.14837194E-2"/>
    <n v="4.3638805000000003E-3"/>
  </r>
  <r>
    <x v="11"/>
    <x v="0"/>
    <x v="10"/>
    <n v="3"/>
    <n v="6832"/>
    <n v="10"/>
    <n v="6845"/>
    <n v="0.99810080349999997"/>
    <n v="1.4609204E-3"/>
    <n v="4.3827610000000001E-4"/>
  </r>
  <r>
    <x v="12"/>
    <x v="0"/>
    <x v="10"/>
    <n v="368"/>
    <n v="5826"/>
    <n v="138"/>
    <n v="6332"/>
    <n v="0.92008843969999998"/>
    <n v="2.1794061900000002E-2"/>
    <n v="5.8117498400000002E-2"/>
  </r>
  <r>
    <x v="13"/>
    <x v="0"/>
    <x v="10"/>
    <n v="598"/>
    <n v="6643"/>
    <n v="301"/>
    <n v="7542"/>
    <n v="0.88080084859999996"/>
    <n v="3.9909838199999999E-2"/>
    <n v="7.9289313200000003E-2"/>
  </r>
  <r>
    <x v="14"/>
    <x v="0"/>
    <x v="10"/>
    <n v="604"/>
    <n v="10363"/>
    <n v="177"/>
    <n v="11144"/>
    <n v="0.92991744440000002"/>
    <n v="1.58829864E-2"/>
    <n v="5.41995693E-2"/>
  </r>
  <r>
    <x v="15"/>
    <x v="0"/>
    <x v="10"/>
    <n v="30"/>
    <n v="2858"/>
    <n v="21"/>
    <n v="2909"/>
    <n v="0.98246820209999997"/>
    <n v="7.2189756000000001E-3"/>
    <n v="1.03128223E-2"/>
  </r>
  <r>
    <x v="16"/>
    <x v="0"/>
    <x v="10"/>
    <n v="15"/>
    <n v="2602"/>
    <n v="92"/>
    <n v="2709"/>
    <n v="0.96050203030000003"/>
    <n v="3.3960871199999999E-2"/>
    <n v="5.5370986000000001E-3"/>
  </r>
  <r>
    <x v="17"/>
    <x v="1"/>
    <x v="10"/>
    <n v="179"/>
    <n v="1680"/>
    <n v="0"/>
    <n v="1859"/>
    <n v="0.90371167289999998"/>
    <n v="0"/>
    <n v="9.6288327100000001E-2"/>
  </r>
  <r>
    <x v="18"/>
    <x v="1"/>
    <x v="10"/>
    <n v="161"/>
    <n v="2064"/>
    <n v="274"/>
    <n v="2499"/>
    <n v="0.82593037209999998"/>
    <n v="0.1096438575"/>
    <n v="6.4425770300000004E-2"/>
  </r>
  <r>
    <x v="19"/>
    <x v="1"/>
    <x v="10"/>
    <n v="110"/>
    <n v="4972"/>
    <n v="459"/>
    <n v="5541"/>
    <n v="0.8973109547"/>
    <n v="8.2837033000000004E-2"/>
    <n v="1.9852012299999999E-2"/>
  </r>
  <r>
    <x v="20"/>
    <x v="1"/>
    <x v="10"/>
    <n v="259"/>
    <n v="13716"/>
    <n v="715"/>
    <n v="14690"/>
    <n v="0.93369639209999999"/>
    <n v="4.8672566399999999E-2"/>
    <n v="1.76310415E-2"/>
  </r>
  <r>
    <x v="21"/>
    <x v="1"/>
    <x v="10"/>
    <n v="100"/>
    <n v="3767"/>
    <n v="640"/>
    <n v="4507"/>
    <n v="0.83581096070000005"/>
    <n v="0.14200133130000001"/>
    <n v="2.2187708E-2"/>
  </r>
  <r>
    <x v="22"/>
    <x v="1"/>
    <x v="10"/>
    <n v="13"/>
    <n v="4472"/>
    <n v="312"/>
    <n v="4797"/>
    <n v="0.93224932250000003"/>
    <n v="6.5040650399999997E-2"/>
    <n v="2.7100270999999999E-3"/>
  </r>
  <r>
    <x v="23"/>
    <x v="1"/>
    <x v="10"/>
    <n v="100"/>
    <n v="4077"/>
    <n v="867"/>
    <n v="5044"/>
    <n v="0.80828707379999998"/>
    <n v="0.171887391"/>
    <n v="1.9825535299999999E-2"/>
  </r>
  <r>
    <x v="24"/>
    <x v="1"/>
    <x v="10"/>
    <n v="251"/>
    <n v="7167"/>
    <n v="822"/>
    <n v="8240"/>
    <n v="0.86978155339999996"/>
    <n v="9.9757281599999997E-2"/>
    <n v="3.0461164999999998E-2"/>
  </r>
  <r>
    <x v="25"/>
    <x v="1"/>
    <x v="10"/>
    <n v="210"/>
    <n v="4287"/>
    <n v="1028"/>
    <n v="5525"/>
    <n v="0.77592760179999998"/>
    <n v="0.18606334839999999"/>
    <n v="3.80090498E-2"/>
  </r>
  <r>
    <x v="26"/>
    <x v="1"/>
    <x v="10"/>
    <n v="265"/>
    <n v="7767"/>
    <n v="450"/>
    <n v="8482"/>
    <n v="0.91570384339999999"/>
    <n v="5.3053525099999999E-2"/>
    <n v="3.12426315E-2"/>
  </r>
  <r>
    <x v="27"/>
    <x v="1"/>
    <x v="10"/>
    <n v="207"/>
    <n v="18629"/>
    <n v="2603"/>
    <n v="21439"/>
    <n v="0.8689304538"/>
    <n v="0.1214142451"/>
    <n v="9.6553010999999994E-3"/>
  </r>
  <r>
    <x v="28"/>
    <x v="1"/>
    <x v="10"/>
    <n v="234"/>
    <n v="5450"/>
    <n v="1660"/>
    <n v="7344"/>
    <n v="0.74210239649999998"/>
    <n v="0.22603485840000001"/>
    <n v="3.1862745099999999E-2"/>
  </r>
  <r>
    <x v="29"/>
    <x v="1"/>
    <x v="10"/>
    <n v="395"/>
    <n v="8112"/>
    <n v="632"/>
    <n v="9139"/>
    <n v="0.88762446660000005"/>
    <n v="6.9154174400000004E-2"/>
    <n v="4.3221359000000001E-2"/>
  </r>
  <r>
    <x v="0"/>
    <x v="0"/>
    <x v="11"/>
    <n v="29"/>
    <n v="2692"/>
    <n v="82"/>
    <n v="2803"/>
    <n v="0.96039957190000003"/>
    <n v="2.9254370299999999E-2"/>
    <n v="1.0346057800000001E-2"/>
  </r>
  <r>
    <x v="1"/>
    <x v="0"/>
    <x v="11"/>
    <n v="1"/>
    <n v="2806"/>
    <n v="5"/>
    <n v="2812"/>
    <n v="0.99786628730000004"/>
    <n v="1.7780939E-3"/>
    <n v="3.5561879999999998E-4"/>
  </r>
  <r>
    <x v="2"/>
    <x v="0"/>
    <x v="11"/>
    <n v="103"/>
    <n v="4170"/>
    <n v="34"/>
    <n v="4307"/>
    <n v="0.96819131650000001"/>
    <n v="7.8941258000000004E-3"/>
    <n v="2.3914557699999998E-2"/>
  </r>
  <r>
    <x v="30"/>
    <x v="0"/>
    <x v="11"/>
    <n v="1"/>
    <n v="857"/>
    <n v="15"/>
    <n v="873"/>
    <n v="0.98167239399999995"/>
    <n v="1.7182130600000001E-2"/>
    <n v="1.1454754000000001E-3"/>
  </r>
  <r>
    <x v="31"/>
    <x v="0"/>
    <x v="11"/>
    <n v="0"/>
    <n v="2517"/>
    <n v="5"/>
    <n v="2522"/>
    <n v="0.99801744650000002"/>
    <n v="1.9825534999999999E-3"/>
    <n v="0"/>
  </r>
  <r>
    <x v="32"/>
    <x v="0"/>
    <x v="11"/>
    <n v="0"/>
    <n v="618"/>
    <n v="25"/>
    <n v="643"/>
    <n v="0.96111975120000004"/>
    <n v="3.8880248800000003E-2"/>
    <n v="0"/>
  </r>
  <r>
    <x v="3"/>
    <x v="0"/>
    <x v="11"/>
    <n v="0"/>
    <n v="5391"/>
    <n v="43"/>
    <n v="5434"/>
    <n v="0.99208686049999995"/>
    <n v="7.9131394999999993E-3"/>
    <n v="0"/>
  </r>
  <r>
    <x v="4"/>
    <x v="0"/>
    <x v="11"/>
    <n v="0"/>
    <n v="3895"/>
    <n v="28"/>
    <n v="3923"/>
    <n v="0.99286260510000002"/>
    <n v="7.1373948999999999E-3"/>
    <n v="0"/>
  </r>
  <r>
    <x v="5"/>
    <x v="0"/>
    <x v="11"/>
    <n v="0"/>
    <n v="4363"/>
    <n v="123"/>
    <n v="4486"/>
    <n v="0.97258136419999996"/>
    <n v="2.7418635800000001E-2"/>
    <n v="0"/>
  </r>
  <r>
    <x v="6"/>
    <x v="0"/>
    <x v="11"/>
    <n v="15"/>
    <n v="2666"/>
    <n v="19"/>
    <n v="2700"/>
    <n v="0.98740740739999999"/>
    <n v="7.0370370000000003E-3"/>
    <n v="5.5555556000000004E-3"/>
  </r>
  <r>
    <x v="7"/>
    <x v="0"/>
    <x v="11"/>
    <n v="122"/>
    <n v="3327"/>
    <n v="0"/>
    <n v="3449"/>
    <n v="0.96462742820000003"/>
    <n v="0"/>
    <n v="3.5372571800000002E-2"/>
  </r>
  <r>
    <x v="8"/>
    <x v="0"/>
    <x v="11"/>
    <n v="73"/>
    <n v="1307"/>
    <n v="41"/>
    <n v="1421"/>
    <n v="0.91977480649999999"/>
    <n v="2.88529205E-2"/>
    <n v="5.1372273000000003E-2"/>
  </r>
  <r>
    <x v="9"/>
    <x v="0"/>
    <x v="11"/>
    <n v="2"/>
    <n v="1072"/>
    <n v="15"/>
    <n v="1089"/>
    <n v="0.984389348"/>
    <n v="1.3774104699999999E-2"/>
    <n v="1.8365473000000001E-3"/>
  </r>
  <r>
    <x v="10"/>
    <x v="0"/>
    <x v="11"/>
    <n v="23"/>
    <n v="9229"/>
    <n v="135"/>
    <n v="9387"/>
    <n v="0.98316821139999999"/>
    <n v="1.43815916E-2"/>
    <n v="2.4501970999999999E-3"/>
  </r>
  <r>
    <x v="11"/>
    <x v="0"/>
    <x v="11"/>
    <n v="1"/>
    <n v="6941"/>
    <n v="13"/>
    <n v="6955"/>
    <n v="0.99798705970000001"/>
    <n v="1.8691589E-3"/>
    <n v="1.4378150000000001E-4"/>
  </r>
  <r>
    <x v="12"/>
    <x v="0"/>
    <x v="11"/>
    <n v="7"/>
    <n v="6193"/>
    <n v="157"/>
    <n v="6357"/>
    <n v="0.97420166750000003"/>
    <n v="2.46971842E-2"/>
    <n v="1.1011483E-3"/>
  </r>
  <r>
    <x v="13"/>
    <x v="0"/>
    <x v="11"/>
    <n v="18"/>
    <n v="7029"/>
    <n v="276"/>
    <n v="7323"/>
    <n v="0.95985251949999995"/>
    <n v="3.7689471500000002E-2"/>
    <n v="2.4580090000000001E-3"/>
  </r>
  <r>
    <x v="14"/>
    <x v="0"/>
    <x v="11"/>
    <n v="28"/>
    <n v="10235"/>
    <n v="159"/>
    <n v="10422"/>
    <n v="0.98205718669999997"/>
    <n v="1.5256188800000001E-2"/>
    <n v="2.6866244E-3"/>
  </r>
  <r>
    <x v="33"/>
    <x v="0"/>
    <x v="11"/>
    <n v="1"/>
    <n v="867"/>
    <n v="7"/>
    <n v="875"/>
    <n v="0.99085714290000004"/>
    <n v="8.0000000000000002E-3"/>
    <n v="1.1428571E-3"/>
  </r>
  <r>
    <x v="15"/>
    <x v="0"/>
    <x v="11"/>
    <n v="32"/>
    <n v="2999"/>
    <n v="13"/>
    <n v="3044"/>
    <n v="0.98521681999999999"/>
    <n v="4.2706964999999998E-3"/>
    <n v="1.0512483600000001E-2"/>
  </r>
  <r>
    <x v="16"/>
    <x v="0"/>
    <x v="11"/>
    <n v="10"/>
    <n v="2839"/>
    <n v="103"/>
    <n v="2952"/>
    <n v="0.96172086720000005"/>
    <n v="3.4891598900000001E-2"/>
    <n v="3.3875339000000002E-3"/>
  </r>
  <r>
    <x v="17"/>
    <x v="1"/>
    <x v="11"/>
    <n v="1132"/>
    <n v="748"/>
    <n v="0"/>
    <n v="1880"/>
    <n v="0.39787234040000002"/>
    <n v="0"/>
    <n v="0.60212765960000003"/>
  </r>
  <r>
    <x v="18"/>
    <x v="1"/>
    <x v="11"/>
    <n v="131"/>
    <n v="2075"/>
    <n v="303"/>
    <n v="2509"/>
    <n v="0.82702271819999995"/>
    <n v="0.1207652451"/>
    <n v="5.2212036699999999E-2"/>
  </r>
  <r>
    <x v="19"/>
    <x v="1"/>
    <x v="11"/>
    <n v="279"/>
    <n v="4593"/>
    <n v="464"/>
    <n v="5336"/>
    <n v="0.86075712140000005"/>
    <n v="8.6956521699999997E-2"/>
    <n v="5.2286356800000003E-2"/>
  </r>
  <r>
    <x v="20"/>
    <x v="1"/>
    <x v="11"/>
    <n v="296"/>
    <n v="13558"/>
    <n v="780"/>
    <n v="14634"/>
    <n v="0.92647259810000004"/>
    <n v="5.3300532999999997E-2"/>
    <n v="2.02268689E-2"/>
  </r>
  <r>
    <x v="21"/>
    <x v="1"/>
    <x v="11"/>
    <n v="111"/>
    <n v="3968"/>
    <n v="659"/>
    <n v="4738"/>
    <n v="0.83748417050000001"/>
    <n v="0.1390882229"/>
    <n v="2.3427606600000001E-2"/>
  </r>
  <r>
    <x v="22"/>
    <x v="1"/>
    <x v="11"/>
    <n v="22"/>
    <n v="4488"/>
    <n v="302"/>
    <n v="4812"/>
    <n v="0.93266832919999998"/>
    <n v="6.2759767199999997E-2"/>
    <n v="4.5719035999999998E-3"/>
  </r>
  <r>
    <x v="23"/>
    <x v="1"/>
    <x v="11"/>
    <n v="145"/>
    <n v="4352"/>
    <n v="887"/>
    <n v="5384"/>
    <n v="0.80832095100000001"/>
    <n v="0.16474739969999999"/>
    <n v="2.6931649299999999E-2"/>
  </r>
  <r>
    <x v="24"/>
    <x v="1"/>
    <x v="11"/>
    <n v="214"/>
    <n v="7503"/>
    <n v="882"/>
    <n v="8599"/>
    <n v="0.87254331900000004"/>
    <n v="0.1025700663"/>
    <n v="2.48866147E-2"/>
  </r>
  <r>
    <x v="25"/>
    <x v="1"/>
    <x v="11"/>
    <n v="308"/>
    <n v="4355"/>
    <n v="945"/>
    <n v="5608"/>
    <n v="0.77656918689999999"/>
    <n v="0.1685092725"/>
    <n v="5.49215407E-2"/>
  </r>
  <r>
    <x v="26"/>
    <x v="1"/>
    <x v="11"/>
    <n v="1209"/>
    <n v="6766"/>
    <n v="447"/>
    <n v="8422"/>
    <n v="0.80337212059999996"/>
    <n v="5.3075279000000003E-2"/>
    <n v="0.1435526003"/>
  </r>
  <r>
    <x v="27"/>
    <x v="1"/>
    <x v="11"/>
    <n v="259"/>
    <n v="18627"/>
    <n v="2688"/>
    <n v="21574"/>
    <n v="0.86340038939999997"/>
    <n v="0.1245944192"/>
    <n v="1.20051914E-2"/>
  </r>
  <r>
    <x v="28"/>
    <x v="1"/>
    <x v="11"/>
    <n v="227"/>
    <n v="5382"/>
    <n v="1621"/>
    <n v="7230"/>
    <n v="0.74439834019999995"/>
    <n v="0.2242047026"/>
    <n v="3.1396957099999998E-2"/>
  </r>
  <r>
    <x v="29"/>
    <x v="1"/>
    <x v="11"/>
    <n v="397"/>
    <n v="8170"/>
    <n v="656"/>
    <n v="9223"/>
    <n v="0.88582890599999997"/>
    <n v="7.1126531500000006E-2"/>
    <n v="4.3044562500000001E-2"/>
  </r>
  <r>
    <x v="0"/>
    <x v="0"/>
    <x v="12"/>
    <n v="34"/>
    <n v="2926"/>
    <n v="86"/>
    <n v="3046"/>
    <n v="0.9606040709"/>
    <n v="2.8233749200000002E-2"/>
    <n v="1.1162179899999999E-2"/>
  </r>
  <r>
    <x v="1"/>
    <x v="0"/>
    <x v="12"/>
    <n v="2"/>
    <n v="2865"/>
    <n v="3"/>
    <n v="2870"/>
    <n v="0.99825783970000004"/>
    <n v="1.0452962000000001E-3"/>
    <n v="6.9686409999999998E-4"/>
  </r>
  <r>
    <x v="2"/>
    <x v="0"/>
    <x v="12"/>
    <n v="97"/>
    <n v="4471"/>
    <n v="42"/>
    <n v="4610"/>
    <n v="0.96984815619999998"/>
    <n v="9.1106290999999999E-3"/>
    <n v="2.1041214799999999E-2"/>
  </r>
  <r>
    <x v="30"/>
    <x v="0"/>
    <x v="12"/>
    <n v="1"/>
    <n v="913"/>
    <n v="36"/>
    <n v="950"/>
    <n v="0.96105263159999998"/>
    <n v="3.7894736800000002E-2"/>
    <n v="1.0526316E-3"/>
  </r>
  <r>
    <x v="31"/>
    <x v="0"/>
    <x v="12"/>
    <n v="0"/>
    <n v="2655"/>
    <n v="11"/>
    <n v="2666"/>
    <n v="0.99587396849999998"/>
    <n v="4.1260315000000002E-3"/>
    <n v="0"/>
  </r>
  <r>
    <x v="32"/>
    <x v="0"/>
    <x v="12"/>
    <n v="0"/>
    <n v="617"/>
    <n v="26"/>
    <n v="643"/>
    <n v="0.95956454120000001"/>
    <n v="4.0435458799999997E-2"/>
    <n v="0"/>
  </r>
  <r>
    <x v="3"/>
    <x v="0"/>
    <x v="12"/>
    <n v="0"/>
    <n v="5704"/>
    <n v="44"/>
    <n v="5748"/>
    <n v="0.99234516350000002"/>
    <n v="7.6548364999999997E-3"/>
    <n v="0"/>
  </r>
  <r>
    <x v="4"/>
    <x v="0"/>
    <x v="12"/>
    <n v="0"/>
    <n v="3908"/>
    <n v="35"/>
    <n v="3943"/>
    <n v="0.99112350999999999"/>
    <n v="8.8764900000000008E-3"/>
    <n v="0"/>
  </r>
  <r>
    <x v="5"/>
    <x v="0"/>
    <x v="12"/>
    <n v="0"/>
    <n v="4161"/>
    <n v="138"/>
    <n v="4299"/>
    <n v="0.96789951149999998"/>
    <n v="3.2100488500000003E-2"/>
    <n v="0"/>
  </r>
  <r>
    <x v="6"/>
    <x v="0"/>
    <x v="12"/>
    <n v="9"/>
    <n v="2736"/>
    <n v="29"/>
    <n v="2774"/>
    <n v="0.98630136989999995"/>
    <n v="1.0454217700000001E-2"/>
    <n v="3.2444124E-3"/>
  </r>
  <r>
    <x v="7"/>
    <x v="0"/>
    <x v="12"/>
    <n v="3461"/>
    <n v="89"/>
    <n v="0"/>
    <n v="3550"/>
    <n v="2.5070422500000002E-2"/>
    <n v="0"/>
    <n v="0.97492957749999998"/>
  </r>
  <r>
    <x v="8"/>
    <x v="0"/>
    <x v="12"/>
    <n v="130"/>
    <n v="1362"/>
    <n v="72"/>
    <n v="1564"/>
    <n v="0.8708439898"/>
    <n v="4.60358056E-2"/>
    <n v="8.3120204599999997E-2"/>
  </r>
  <r>
    <x v="9"/>
    <x v="0"/>
    <x v="12"/>
    <n v="2"/>
    <n v="1096"/>
    <n v="18"/>
    <n v="1116"/>
    <n v="0.98207885299999997"/>
    <n v="1.6129032299999999E-2"/>
    <n v="1.7921147000000001E-3"/>
  </r>
  <r>
    <x v="10"/>
    <x v="0"/>
    <x v="12"/>
    <n v="20"/>
    <n v="10093"/>
    <n v="153"/>
    <n v="10266"/>
    <n v="0.98314825640000003"/>
    <n v="1.49035652E-2"/>
    <n v="1.9481785E-3"/>
  </r>
  <r>
    <x v="11"/>
    <x v="0"/>
    <x v="12"/>
    <n v="1"/>
    <n v="7320"/>
    <n v="9"/>
    <n v="7330"/>
    <n v="0.99863574349999995"/>
    <n v="1.2278307999999999E-3"/>
    <n v="1.3642560000000001E-4"/>
  </r>
  <r>
    <x v="12"/>
    <x v="0"/>
    <x v="12"/>
    <n v="61"/>
    <n v="6365"/>
    <n v="151"/>
    <n v="6577"/>
    <n v="0.96776645890000002"/>
    <n v="2.2958795800000001E-2"/>
    <n v="9.2747452999999997E-3"/>
  </r>
  <r>
    <x v="13"/>
    <x v="0"/>
    <x v="12"/>
    <n v="209"/>
    <n v="6797"/>
    <n v="240"/>
    <n v="7246"/>
    <n v="0.9380347778"/>
    <n v="3.3121722300000003E-2"/>
    <n v="2.88434999E-2"/>
  </r>
  <r>
    <x v="14"/>
    <x v="0"/>
    <x v="12"/>
    <n v="265"/>
    <n v="9988"/>
    <n v="194"/>
    <n v="10447"/>
    <n v="0.95606394179999998"/>
    <n v="1.85699244E-2"/>
    <n v="2.5366133799999999E-2"/>
  </r>
  <r>
    <x v="33"/>
    <x v="0"/>
    <x v="12"/>
    <n v="60"/>
    <n v="1102"/>
    <n v="3"/>
    <n v="1165"/>
    <n v="0.94592274679999999"/>
    <n v="2.5751073000000002E-3"/>
    <n v="5.1502145899999997E-2"/>
  </r>
  <r>
    <x v="15"/>
    <x v="0"/>
    <x v="12"/>
    <n v="49"/>
    <n v="3113"/>
    <n v="23"/>
    <n v="3185"/>
    <n v="0.97739403449999995"/>
    <n v="7.2213501000000001E-3"/>
    <n v="1.5384615399999999E-2"/>
  </r>
  <r>
    <x v="16"/>
    <x v="0"/>
    <x v="12"/>
    <n v="9"/>
    <n v="2788"/>
    <n v="84"/>
    <n v="2881"/>
    <n v="0.96771954179999997"/>
    <n v="2.9156542899999999E-2"/>
    <n v="3.1239153000000002E-3"/>
  </r>
  <r>
    <x v="17"/>
    <x v="1"/>
    <x v="12"/>
    <n v="196"/>
    <n v="1655"/>
    <n v="0"/>
    <n v="1851"/>
    <n v="0.89411129119999999"/>
    <n v="0"/>
    <n v="0.10588870879999999"/>
  </r>
  <r>
    <x v="18"/>
    <x v="1"/>
    <x v="12"/>
    <n v="533"/>
    <n v="1963"/>
    <n v="0"/>
    <n v="2496"/>
    <n v="0.78645833330000003"/>
    <n v="0"/>
    <n v="0.21354166669999999"/>
  </r>
  <r>
    <x v="19"/>
    <x v="1"/>
    <x v="12"/>
    <n v="682"/>
    <n v="4037"/>
    <n v="432"/>
    <n v="5151"/>
    <n v="0.78373131429999998"/>
    <n v="8.3867210299999995E-2"/>
    <n v="0.1324014754"/>
  </r>
  <r>
    <x v="20"/>
    <x v="1"/>
    <x v="12"/>
    <n v="361"/>
    <n v="13409"/>
    <n v="839"/>
    <n v="14609"/>
    <n v="0.91785885410000001"/>
    <n v="5.74303512E-2"/>
    <n v="2.47107947E-2"/>
  </r>
  <r>
    <x v="21"/>
    <x v="1"/>
    <x v="12"/>
    <n v="132"/>
    <n v="4094"/>
    <n v="680"/>
    <n v="4906"/>
    <n v="0.83448838160000005"/>
    <n v="0.13860578879999999"/>
    <n v="2.69058296E-2"/>
  </r>
  <r>
    <x v="22"/>
    <x v="1"/>
    <x v="12"/>
    <n v="7"/>
    <n v="4630"/>
    <n v="307"/>
    <n v="4944"/>
    <n v="0.93648867309999995"/>
    <n v="6.2095469299999997E-2"/>
    <n v="1.4158576E-3"/>
  </r>
  <r>
    <x v="23"/>
    <x v="1"/>
    <x v="12"/>
    <n v="129"/>
    <n v="4492"/>
    <n v="912"/>
    <n v="5533"/>
    <n v="0.81185613590000005"/>
    <n v="0.1648292066"/>
    <n v="2.3314657499999999E-2"/>
  </r>
  <r>
    <x v="24"/>
    <x v="1"/>
    <x v="12"/>
    <n v="321"/>
    <n v="7519"/>
    <n v="914"/>
    <n v="8754"/>
    <n v="0.85892163580000003"/>
    <n v="0.1044094128"/>
    <n v="3.6668951300000002E-2"/>
  </r>
  <r>
    <x v="25"/>
    <x v="1"/>
    <x v="12"/>
    <n v="355"/>
    <n v="4338"/>
    <n v="893"/>
    <n v="5586"/>
    <n v="0.77658431790000004"/>
    <n v="0.1598639456"/>
    <n v="6.3551736499999997E-2"/>
  </r>
  <r>
    <x v="26"/>
    <x v="1"/>
    <x v="12"/>
    <n v="964"/>
    <n v="7101"/>
    <n v="420"/>
    <n v="8485"/>
    <n v="0.836888627"/>
    <n v="4.9499116099999997E-2"/>
    <n v="0.1136122569"/>
  </r>
  <r>
    <x v="27"/>
    <x v="1"/>
    <x v="12"/>
    <n v="393"/>
    <n v="19478"/>
    <n v="3064"/>
    <n v="22935"/>
    <n v="0.84926967519999996"/>
    <n v="0.13359494220000001"/>
    <n v="1.7135382599999999E-2"/>
  </r>
  <r>
    <x v="28"/>
    <x v="1"/>
    <x v="12"/>
    <n v="223"/>
    <n v="5724"/>
    <n v="1711"/>
    <n v="7658"/>
    <n v="0.74745364319999996"/>
    <n v="0.22342648209999999"/>
    <n v="2.9119874600000002E-2"/>
  </r>
  <r>
    <x v="29"/>
    <x v="1"/>
    <x v="12"/>
    <n v="471"/>
    <n v="8031"/>
    <n v="581"/>
    <n v="9083"/>
    <n v="0.88417923590000003"/>
    <n v="6.3965650099999993E-2"/>
    <n v="5.1855113899999999E-2"/>
  </r>
  <r>
    <x v="0"/>
    <x v="0"/>
    <x v="13"/>
    <n v="85"/>
    <n v="4301"/>
    <n v="108"/>
    <n v="4494"/>
    <n v="0.95705384959999995"/>
    <n v="2.4032042699999999E-2"/>
    <n v="1.8914107699999998E-2"/>
  </r>
  <r>
    <x v="1"/>
    <x v="0"/>
    <x v="13"/>
    <n v="3"/>
    <n v="3475"/>
    <n v="7"/>
    <n v="3485"/>
    <n v="0.99713055949999996"/>
    <n v="2.0086082999999999E-3"/>
    <n v="8.6083209999999999E-4"/>
  </r>
  <r>
    <x v="2"/>
    <x v="0"/>
    <x v="13"/>
    <n v="93"/>
    <n v="5213"/>
    <n v="39"/>
    <n v="5345"/>
    <n v="0.97530402250000003"/>
    <n v="7.2965388000000003E-3"/>
    <n v="1.7399438699999999E-2"/>
  </r>
  <r>
    <x v="30"/>
    <x v="0"/>
    <x v="13"/>
    <n v="0"/>
    <n v="1060"/>
    <n v="36"/>
    <n v="1096"/>
    <n v="0.96715328469999995"/>
    <n v="3.2846715300000003E-2"/>
    <n v="0"/>
  </r>
  <r>
    <x v="31"/>
    <x v="0"/>
    <x v="13"/>
    <n v="0"/>
    <n v="2955"/>
    <n v="9"/>
    <n v="2964"/>
    <n v="0.99696356279999998"/>
    <n v="3.0364372E-3"/>
    <n v="0"/>
  </r>
  <r>
    <x v="32"/>
    <x v="0"/>
    <x v="13"/>
    <n v="0"/>
    <n v="685"/>
    <n v="20"/>
    <n v="705"/>
    <n v="0.97163120569999994"/>
    <n v="2.83687943E-2"/>
    <n v="0"/>
  </r>
  <r>
    <x v="3"/>
    <x v="0"/>
    <x v="13"/>
    <n v="1"/>
    <n v="5944"/>
    <n v="43"/>
    <n v="5988"/>
    <n v="0.99265197059999999"/>
    <n v="7.1810286999999997E-3"/>
    <n v="1.6700069999999999E-4"/>
  </r>
  <r>
    <x v="4"/>
    <x v="0"/>
    <x v="13"/>
    <n v="0"/>
    <n v="4308"/>
    <n v="38"/>
    <n v="4346"/>
    <n v="0.99125632770000005"/>
    <n v="8.7436722999999997E-3"/>
    <n v="0"/>
  </r>
  <r>
    <x v="5"/>
    <x v="0"/>
    <x v="13"/>
    <n v="1"/>
    <n v="4442"/>
    <n v="159"/>
    <n v="4602"/>
    <n v="0.96523250760000001"/>
    <n v="3.45501956E-2"/>
    <n v="2.1729679999999999E-4"/>
  </r>
  <r>
    <x v="6"/>
    <x v="0"/>
    <x v="13"/>
    <n v="61"/>
    <n v="2395"/>
    <n v="19"/>
    <n v="2475"/>
    <n v="0.9676767677"/>
    <n v="7.6767676999999999E-3"/>
    <n v="2.4646464600000001E-2"/>
  </r>
  <r>
    <x v="7"/>
    <x v="0"/>
    <x v="13"/>
    <n v="133"/>
    <n v="4307"/>
    <n v="0"/>
    <n v="4440"/>
    <n v="0.97004504499999999"/>
    <n v="0"/>
    <n v="2.9954954999999998E-2"/>
  </r>
  <r>
    <x v="8"/>
    <x v="0"/>
    <x v="13"/>
    <n v="182"/>
    <n v="1586"/>
    <n v="86"/>
    <n v="1854"/>
    <n v="0.85544768069999999"/>
    <n v="4.6386192E-2"/>
    <n v="9.8166127300000003E-2"/>
  </r>
  <r>
    <x v="9"/>
    <x v="0"/>
    <x v="13"/>
    <n v="33"/>
    <n v="1295"/>
    <n v="0"/>
    <n v="1328"/>
    <n v="0.97515060239999996"/>
    <n v="0"/>
    <n v="2.48493976E-2"/>
  </r>
  <r>
    <x v="10"/>
    <x v="0"/>
    <x v="13"/>
    <n v="43"/>
    <n v="11907"/>
    <n v="139"/>
    <n v="12089"/>
    <n v="0.98494499130000002"/>
    <n v="1.1498056099999999E-2"/>
    <n v="3.5569526000000001E-3"/>
  </r>
  <r>
    <x v="11"/>
    <x v="0"/>
    <x v="13"/>
    <n v="76"/>
    <n v="7768"/>
    <n v="6"/>
    <n v="7850"/>
    <n v="0.98955414009999998"/>
    <n v="7.643312E-4"/>
    <n v="9.6815287000000007E-3"/>
  </r>
  <r>
    <x v="12"/>
    <x v="0"/>
    <x v="13"/>
    <n v="0"/>
    <n v="7210"/>
    <n v="72"/>
    <n v="7282"/>
    <n v="0.99011260639999998"/>
    <n v="9.8873936000000006E-3"/>
    <n v="0"/>
  </r>
  <r>
    <x v="13"/>
    <x v="0"/>
    <x v="13"/>
    <n v="3"/>
    <n v="8068"/>
    <n v="237"/>
    <n v="8308"/>
    <n v="0.97111218099999996"/>
    <n v="2.8526721200000001E-2"/>
    <n v="3.6109770000000002E-4"/>
  </r>
  <r>
    <x v="14"/>
    <x v="0"/>
    <x v="13"/>
    <n v="1"/>
    <n v="11294"/>
    <n v="116"/>
    <n v="11411"/>
    <n v="0.98974673560000004"/>
    <n v="1.01656297E-2"/>
    <n v="8.7634700000000003E-5"/>
  </r>
  <r>
    <x v="33"/>
    <x v="0"/>
    <x v="13"/>
    <n v="0"/>
    <n v="1356"/>
    <n v="2"/>
    <n v="1358"/>
    <n v="0.99852724589999997"/>
    <n v="1.4727541E-3"/>
    <n v="0"/>
  </r>
  <r>
    <x v="15"/>
    <x v="0"/>
    <x v="13"/>
    <n v="53"/>
    <n v="3886"/>
    <n v="16"/>
    <n v="3955"/>
    <n v="0.98255372949999997"/>
    <n v="4.0455120000000002E-3"/>
    <n v="1.34007585E-2"/>
  </r>
  <r>
    <x v="16"/>
    <x v="0"/>
    <x v="13"/>
    <n v="6"/>
    <n v="3148"/>
    <n v="95"/>
    <n v="3249"/>
    <n v="0.96891351179999996"/>
    <n v="2.9239766100000002E-2"/>
    <n v="1.8467220999999999E-3"/>
  </r>
  <r>
    <x v="17"/>
    <x v="1"/>
    <x v="13"/>
    <n v="172"/>
    <n v="1714"/>
    <n v="0"/>
    <n v="1886"/>
    <n v="0.90880169669999999"/>
    <n v="0"/>
    <n v="9.1198303300000005E-2"/>
  </r>
  <r>
    <x v="18"/>
    <x v="1"/>
    <x v="13"/>
    <n v="108"/>
    <n v="2201"/>
    <n v="368"/>
    <n v="2677"/>
    <n v="0.82218901759999996"/>
    <n v="0.1374673142"/>
    <n v="4.0343668300000003E-2"/>
  </r>
  <r>
    <x v="19"/>
    <x v="1"/>
    <x v="13"/>
    <n v="297"/>
    <n v="4739"/>
    <n v="483"/>
    <n v="5519"/>
    <n v="0.85867004889999998"/>
    <n v="8.7515854300000001E-2"/>
    <n v="5.3814096800000003E-2"/>
  </r>
  <r>
    <x v="20"/>
    <x v="1"/>
    <x v="13"/>
    <n v="531"/>
    <n v="13666"/>
    <n v="916"/>
    <n v="15113"/>
    <n v="0.90425461519999994"/>
    <n v="6.0610070799999999E-2"/>
    <n v="3.5135314000000001E-2"/>
  </r>
  <r>
    <x v="21"/>
    <x v="1"/>
    <x v="13"/>
    <n v="165"/>
    <n v="4325"/>
    <n v="709"/>
    <n v="5199"/>
    <n v="0.83189074819999997"/>
    <n v="0.13637237930000001"/>
    <n v="3.1736872499999999E-2"/>
  </r>
  <r>
    <x v="22"/>
    <x v="1"/>
    <x v="13"/>
    <n v="21"/>
    <n v="4846"/>
    <n v="321"/>
    <n v="5188"/>
    <n v="0.93407864299999999"/>
    <n v="6.1873554400000003E-2"/>
    <n v="4.0478025999999999E-3"/>
  </r>
  <r>
    <x v="23"/>
    <x v="1"/>
    <x v="13"/>
    <n v="266"/>
    <n v="4602"/>
    <n v="905"/>
    <n v="5773"/>
    <n v="0.79715918929999996"/>
    <n v="0.1567642474"/>
    <n v="4.6076563299999998E-2"/>
  </r>
  <r>
    <x v="24"/>
    <x v="1"/>
    <x v="13"/>
    <n v="298"/>
    <n v="7708"/>
    <n v="970"/>
    <n v="8976"/>
    <n v="0.85873440290000003"/>
    <n v="0.10806595369999999"/>
    <n v="3.3199643500000001E-2"/>
  </r>
  <r>
    <x v="25"/>
    <x v="1"/>
    <x v="13"/>
    <n v="334"/>
    <n v="4307"/>
    <n v="828"/>
    <n v="5469"/>
    <n v="0.78752971289999996"/>
    <n v="0.15139879319999999"/>
    <n v="6.1071493900000003E-2"/>
  </r>
  <r>
    <x v="26"/>
    <x v="1"/>
    <x v="13"/>
    <n v="821"/>
    <n v="7261"/>
    <n v="464"/>
    <n v="8546"/>
    <n v="0.84963725720000005"/>
    <n v="5.4294406699999999E-2"/>
    <n v="9.6068336099999999E-2"/>
  </r>
  <r>
    <x v="27"/>
    <x v="1"/>
    <x v="13"/>
    <n v="461"/>
    <n v="19814"/>
    <n v="3499"/>
    <n v="23774"/>
    <n v="0.83343147979999999"/>
    <n v="0.147177589"/>
    <n v="1.9390931300000001E-2"/>
  </r>
  <r>
    <x v="28"/>
    <x v="1"/>
    <x v="13"/>
    <n v="244"/>
    <n v="5957"/>
    <n v="1814"/>
    <n v="8015"/>
    <n v="0.74323144100000005"/>
    <n v="0.2263256394"/>
    <n v="3.0442919499999999E-2"/>
  </r>
  <r>
    <x v="29"/>
    <x v="1"/>
    <x v="13"/>
    <n v="315"/>
    <n v="8387"/>
    <n v="616"/>
    <n v="9318"/>
    <n v="0.90008585529999996"/>
    <n v="6.6108607E-2"/>
    <n v="3.3805537699999999E-2"/>
  </r>
  <r>
    <x v="34"/>
    <x v="0"/>
    <x v="0"/>
    <n v="558"/>
    <n v="67663"/>
    <n v="1319"/>
    <n v="69540"/>
    <n v="0.97300834049999996"/>
    <n v="1.8967500700000001E-2"/>
    <n v="8.0241588000000003E-3"/>
  </r>
  <r>
    <x v="34"/>
    <x v="1"/>
    <x v="0"/>
    <n v="5762"/>
    <n v="78542"/>
    <n v="8153"/>
    <n v="92457"/>
    <n v="0.84949760429999999"/>
    <n v="8.8181533000000006E-2"/>
    <n v="6.23208627E-2"/>
  </r>
  <r>
    <x v="34"/>
    <x v="0"/>
    <x v="1"/>
    <n v="668"/>
    <n v="68238"/>
    <n v="1293"/>
    <n v="70199"/>
    <n v="0.97206512909999998"/>
    <n v="1.8419065799999999E-2"/>
    <n v="9.5158051E-3"/>
  </r>
  <r>
    <x v="34"/>
    <x v="1"/>
    <x v="1"/>
    <n v="4762"/>
    <n v="79134"/>
    <n v="8471"/>
    <n v="92367"/>
    <n v="0.85673454810000005"/>
    <n v="9.1710242799999994E-2"/>
    <n v="5.1555209099999999E-2"/>
  </r>
  <r>
    <x v="34"/>
    <x v="0"/>
    <x v="2"/>
    <n v="761"/>
    <n v="67776"/>
    <n v="1245"/>
    <n v="69782"/>
    <n v="0.97125333179999995"/>
    <n v="1.78412771E-2"/>
    <n v="1.09053911E-2"/>
  </r>
  <r>
    <x v="34"/>
    <x v="1"/>
    <x v="2"/>
    <n v="3991"/>
    <n v="80076"/>
    <n v="8845"/>
    <n v="92912"/>
    <n v="0.8618477699"/>
    <n v="9.5197606300000001E-2"/>
    <n v="4.29546237E-2"/>
  </r>
  <r>
    <x v="34"/>
    <x v="0"/>
    <x v="3"/>
    <n v="1682"/>
    <n v="71273"/>
    <n v="1355"/>
    <n v="74310"/>
    <n v="0.95913066879999997"/>
    <n v="1.8234423400000001E-2"/>
    <n v="2.26349078E-2"/>
  </r>
  <r>
    <x v="34"/>
    <x v="1"/>
    <x v="3"/>
    <n v="3387"/>
    <n v="81028"/>
    <n v="9047"/>
    <n v="93462"/>
    <n v="0.86696197389999996"/>
    <n v="9.6798698899999994E-2"/>
    <n v="3.6239327199999997E-2"/>
  </r>
  <r>
    <x v="34"/>
    <x v="0"/>
    <x v="4"/>
    <n v="4113"/>
    <n v="66180"/>
    <n v="1253"/>
    <n v="71546"/>
    <n v="0.92499930109999995"/>
    <n v="1.7513208299999999E-2"/>
    <n v="5.7487490600000003E-2"/>
  </r>
  <r>
    <x v="34"/>
    <x v="1"/>
    <x v="4"/>
    <n v="3153"/>
    <n v="81695"/>
    <n v="9117"/>
    <n v="93965"/>
    <n v="0.86941946469999998"/>
    <n v="9.7025488199999996E-2"/>
    <n v="3.3555047099999999E-2"/>
  </r>
  <r>
    <x v="34"/>
    <x v="0"/>
    <x v="5"/>
    <n v="846"/>
    <n v="76102"/>
    <n v="993"/>
    <n v="77941"/>
    <n v="0.97640522959999998"/>
    <n v="1.27404062E-2"/>
    <n v="1.0854364199999999E-2"/>
  </r>
  <r>
    <x v="34"/>
    <x v="1"/>
    <x v="5"/>
    <n v="3216"/>
    <n v="82895"/>
    <n v="9082"/>
    <n v="95193"/>
    <n v="0.87080982849999999"/>
    <n v="9.5406174799999993E-2"/>
    <n v="3.3783996699999999E-2"/>
  </r>
  <r>
    <x v="34"/>
    <x v="0"/>
    <x v="6"/>
    <n v="579"/>
    <n v="79845"/>
    <n v="519"/>
    <n v="80943"/>
    <n v="0.9864348986"/>
    <n v="6.4119195E-3"/>
    <n v="7.1531818999999996E-3"/>
  </r>
  <r>
    <x v="34"/>
    <x v="1"/>
    <x v="6"/>
    <n v="3264"/>
    <n v="83940"/>
    <n v="9496"/>
    <n v="96700"/>
    <n v="0.86804550160000005"/>
    <n v="9.8200620500000002E-2"/>
    <n v="3.3753878000000001E-2"/>
  </r>
  <r>
    <x v="34"/>
    <x v="0"/>
    <x v="7"/>
    <n v="3758"/>
    <n v="78530"/>
    <n v="1184"/>
    <n v="83472"/>
    <n v="0.94079451790000002"/>
    <n v="1.4184397200000001E-2"/>
    <n v="4.5021084900000001E-2"/>
  </r>
  <r>
    <x v="34"/>
    <x v="1"/>
    <x v="7"/>
    <n v="3050"/>
    <n v="83813"/>
    <n v="9824"/>
    <n v="96687"/>
    <n v="0.86684869730000003"/>
    <n v="0.10160621390000001"/>
    <n v="3.1545088800000003E-2"/>
  </r>
  <r>
    <x v="34"/>
    <x v="0"/>
    <x v="8"/>
    <n v="2363"/>
    <n v="78478"/>
    <n v="1286"/>
    <n v="82127"/>
    <n v="0.95556881419999995"/>
    <n v="1.5658675E-2"/>
    <n v="2.8772510899999999E-2"/>
  </r>
  <r>
    <x v="34"/>
    <x v="1"/>
    <x v="8"/>
    <n v="3291"/>
    <n v="84118"/>
    <n v="9955"/>
    <n v="97364"/>
    <n v="0.86395382279999999"/>
    <n v="0.102245183"/>
    <n v="3.3800994199999997E-2"/>
  </r>
  <r>
    <x v="34"/>
    <x v="0"/>
    <x v="9"/>
    <n v="1709"/>
    <n v="78632"/>
    <n v="1276"/>
    <n v="81617"/>
    <n v="0.96342673710000004"/>
    <n v="1.56339978E-2"/>
    <n v="2.09392651E-2"/>
  </r>
  <r>
    <x v="34"/>
    <x v="1"/>
    <x v="9"/>
    <n v="3472"/>
    <n v="84917"/>
    <n v="10346"/>
    <n v="98735"/>
    <n v="0.86004962780000005"/>
    <n v="0.104785537"/>
    <n v="3.5164835200000001E-2"/>
  </r>
  <r>
    <x v="34"/>
    <x v="0"/>
    <x v="10"/>
    <n v="3001"/>
    <n v="76894"/>
    <n v="1351"/>
    <n v="81246"/>
    <n v="0.94643428600000001"/>
    <n v="1.6628510900000001E-2"/>
    <n v="3.6937203100000003E-2"/>
  </r>
  <r>
    <x v="34"/>
    <x v="1"/>
    <x v="10"/>
    <n v="2484"/>
    <n v="86160"/>
    <n v="10462"/>
    <n v="99106"/>
    <n v="0.8693721874"/>
    <n v="0.1055637398"/>
    <n v="2.50640728E-2"/>
  </r>
  <r>
    <x v="34"/>
    <x v="0"/>
    <x v="11"/>
    <n v="466"/>
    <n v="82013"/>
    <n v="1298"/>
    <n v="83777"/>
    <n v="0.97894410160000001"/>
    <n v="1.5493512500000001E-2"/>
    <n v="5.5623859000000003E-3"/>
  </r>
  <r>
    <x v="34"/>
    <x v="1"/>
    <x v="11"/>
    <n v="4730"/>
    <n v="84585"/>
    <n v="10634"/>
    <n v="99949"/>
    <n v="0.84628160360000004"/>
    <n v="0.1063942611"/>
    <n v="4.73241353E-2"/>
  </r>
  <r>
    <x v="34"/>
    <x v="0"/>
    <x v="12"/>
    <n v="4410"/>
    <n v="81069"/>
    <n v="1397"/>
    <n v="86876"/>
    <n v="0.93315760390000002"/>
    <n v="1.6080390399999998E-2"/>
    <n v="5.07620056E-2"/>
  </r>
  <r>
    <x v="34"/>
    <x v="1"/>
    <x v="12"/>
    <n v="4767"/>
    <n v="86471"/>
    <n v="10753"/>
    <n v="101991"/>
    <n v="0.8478297105"/>
    <n v="0.1054308714"/>
    <n v="4.6739418200000001E-2"/>
  </r>
  <r>
    <x v="34"/>
    <x v="0"/>
    <x v="13"/>
    <n v="774"/>
    <n v="96603"/>
    <n v="1247"/>
    <n v="98624"/>
    <n v="0.97950803050000002"/>
    <n v="1.26439812E-2"/>
    <n v="7.8479883000000007E-3"/>
  </r>
  <r>
    <x v="34"/>
    <x v="1"/>
    <x v="13"/>
    <n v="4033"/>
    <n v="89527"/>
    <n v="11893"/>
    <n v="105453"/>
    <n v="0.84897537290000002"/>
    <n v="0.1127801011"/>
    <n v="3.8244526000000001E-2"/>
  </r>
  <r>
    <x v="35"/>
    <x v="2"/>
    <x v="0"/>
    <n v="6320"/>
    <n v="146205"/>
    <n v="9472"/>
    <n v="161997"/>
    <n v="0.90251671330000005"/>
    <n v="5.8470218599999998E-2"/>
    <n v="3.9013068099999999E-2"/>
  </r>
  <r>
    <x v="35"/>
    <x v="2"/>
    <x v="1"/>
    <n v="5430"/>
    <n v="147372"/>
    <n v="9764"/>
    <n v="162566"/>
    <n v="0.90653642209999996"/>
    <n v="6.0061759499999999E-2"/>
    <n v="3.3401818299999997E-2"/>
  </r>
  <r>
    <x v="35"/>
    <x v="2"/>
    <x v="2"/>
    <n v="4752"/>
    <n v="147852"/>
    <n v="10090"/>
    <n v="162694"/>
    <n v="0.90877352580000004"/>
    <n v="6.20182674E-2"/>
    <n v="2.9208206800000001E-2"/>
  </r>
  <r>
    <x v="35"/>
    <x v="2"/>
    <x v="3"/>
    <n v="5069"/>
    <n v="152301"/>
    <n v="10402"/>
    <n v="167772"/>
    <n v="0.90778556610000005"/>
    <n v="6.2000810599999998E-2"/>
    <n v="3.0213623299999999E-2"/>
  </r>
  <r>
    <x v="35"/>
    <x v="2"/>
    <x v="4"/>
    <n v="7266"/>
    <n v="147875"/>
    <n v="10370"/>
    <n v="165511"/>
    <n v="0.89344514870000002"/>
    <n v="6.2654445899999994E-2"/>
    <n v="4.3900405400000002E-2"/>
  </r>
  <r>
    <x v="35"/>
    <x v="2"/>
    <x v="5"/>
    <n v="4062"/>
    <n v="158997"/>
    <n v="10075"/>
    <n v="173134"/>
    <n v="0.9183464831"/>
    <n v="5.8191920699999997E-2"/>
    <n v="2.34615962E-2"/>
  </r>
  <r>
    <x v="35"/>
    <x v="2"/>
    <x v="6"/>
    <n v="3843"/>
    <n v="163785"/>
    <n v="10015"/>
    <n v="177643"/>
    <n v="0.92198960839999999"/>
    <n v="5.6377115899999997E-2"/>
    <n v="2.1633275699999999E-2"/>
  </r>
  <r>
    <x v="35"/>
    <x v="2"/>
    <x v="7"/>
    <n v="6808"/>
    <n v="162343"/>
    <n v="11008"/>
    <n v="180159"/>
    <n v="0.90110957540000003"/>
    <n v="6.1101582500000001E-2"/>
    <n v="3.7788842099999997E-2"/>
  </r>
  <r>
    <x v="35"/>
    <x v="2"/>
    <x v="8"/>
    <n v="5654"/>
    <n v="162596"/>
    <n v="11241"/>
    <n v="179491"/>
    <n v="0.90587271790000001"/>
    <n v="6.2627095499999993E-2"/>
    <n v="3.1500186600000001E-2"/>
  </r>
  <r>
    <x v="35"/>
    <x v="2"/>
    <x v="9"/>
    <n v="5181"/>
    <n v="163549"/>
    <n v="11622"/>
    <n v="180352"/>
    <n v="0.90683219479999999"/>
    <n v="6.4440649399999994E-2"/>
    <n v="2.8727155800000001E-2"/>
  </r>
  <r>
    <x v="35"/>
    <x v="2"/>
    <x v="10"/>
    <n v="5485"/>
    <n v="163054"/>
    <n v="11813"/>
    <n v="180352"/>
    <n v="0.90408756209999996"/>
    <n v="6.54996895E-2"/>
    <n v="3.0412748400000002E-2"/>
  </r>
  <r>
    <x v="35"/>
    <x v="2"/>
    <x v="11"/>
    <n v="5196"/>
    <n v="166598"/>
    <n v="11932"/>
    <n v="183726"/>
    <n v="0.90677421810000003"/>
    <n v="6.4944536999999997E-2"/>
    <n v="2.8281244899999999E-2"/>
  </r>
  <r>
    <x v="35"/>
    <x v="2"/>
    <x v="12"/>
    <n v="9177"/>
    <n v="167540"/>
    <n v="12150"/>
    <n v="188867"/>
    <n v="0.88707926739999998"/>
    <n v="6.4330984199999997E-2"/>
    <n v="4.8589748299999999E-2"/>
  </r>
  <r>
    <x v="35"/>
    <x v="2"/>
    <x v="13"/>
    <n v="4807"/>
    <n v="186130"/>
    <n v="13140"/>
    <n v="204077"/>
    <n v="0.91205770370000006"/>
    <n v="6.4387461600000001E-2"/>
    <n v="2.3554834699999999E-2"/>
  </r>
  <r>
    <x v="0"/>
    <x v="0"/>
    <x v="14"/>
    <n v="0"/>
    <n v="5006"/>
    <n v="145"/>
    <n v="5151"/>
    <n v="0.9718501262"/>
    <n v="2.8149873799999999E-2"/>
    <n v="0"/>
  </r>
  <r>
    <x v="1"/>
    <x v="0"/>
    <x v="14"/>
    <n v="0"/>
    <n v="3156"/>
    <n v="3"/>
    <n v="3159"/>
    <n v="0.99905033239999996"/>
    <n v="9.4966759999999995E-4"/>
    <n v="0"/>
  </r>
  <r>
    <x v="2"/>
    <x v="0"/>
    <x v="14"/>
    <n v="13"/>
    <n v="5634"/>
    <n v="43"/>
    <n v="5690"/>
    <n v="0.99015817220000002"/>
    <n v="7.5571177999999998E-3"/>
    <n v="2.2847100000000001E-3"/>
  </r>
  <r>
    <x v="32"/>
    <x v="0"/>
    <x v="14"/>
    <n v="0"/>
    <n v="827"/>
    <n v="0"/>
    <n v="827"/>
    <n v="1"/>
    <n v="0"/>
    <n v="0"/>
  </r>
  <r>
    <x v="31"/>
    <x v="0"/>
    <x v="14"/>
    <n v="0"/>
    <n v="3537"/>
    <n v="0"/>
    <n v="3537"/>
    <n v="1"/>
    <n v="0"/>
    <n v="0"/>
  </r>
  <r>
    <x v="3"/>
    <x v="0"/>
    <x v="14"/>
    <n v="0"/>
    <n v="6539"/>
    <n v="0"/>
    <n v="6539"/>
    <n v="1"/>
    <n v="0"/>
    <n v="0"/>
  </r>
  <r>
    <x v="4"/>
    <x v="0"/>
    <x v="14"/>
    <n v="0"/>
    <n v="5385"/>
    <n v="0"/>
    <n v="5385"/>
    <n v="1"/>
    <n v="0"/>
    <n v="0"/>
  </r>
  <r>
    <x v="5"/>
    <x v="0"/>
    <x v="14"/>
    <n v="0"/>
    <n v="4956"/>
    <n v="0"/>
    <n v="4956"/>
    <n v="1"/>
    <n v="0"/>
    <n v="0"/>
  </r>
  <r>
    <x v="6"/>
    <x v="0"/>
    <x v="14"/>
    <n v="7"/>
    <n v="3446"/>
    <n v="27"/>
    <n v="3480"/>
    <n v="0.99022988509999998"/>
    <n v="7.7586206999999997E-3"/>
    <n v="2.0114943000000001E-3"/>
  </r>
  <r>
    <x v="8"/>
    <x v="0"/>
    <x v="14"/>
    <n v="7"/>
    <n v="2083"/>
    <n v="139"/>
    <n v="2229"/>
    <n v="0.93449977569999998"/>
    <n v="6.23598026E-2"/>
    <n v="3.1404216999999998E-3"/>
  </r>
  <r>
    <x v="7"/>
    <x v="0"/>
    <x v="14"/>
    <n v="0"/>
    <n v="4479"/>
    <n v="0"/>
    <n v="4479"/>
    <n v="1"/>
    <n v="0"/>
    <n v="0"/>
  </r>
  <r>
    <x v="9"/>
    <x v="0"/>
    <x v="14"/>
    <n v="22"/>
    <n v="1810"/>
    <n v="0"/>
    <n v="1832"/>
    <n v="0.98799126640000001"/>
    <n v="0"/>
    <n v="1.20087336E-2"/>
  </r>
  <r>
    <x v="10"/>
    <x v="0"/>
    <x v="14"/>
    <n v="0"/>
    <n v="13763"/>
    <n v="0"/>
    <n v="13763"/>
    <n v="1"/>
    <n v="0"/>
    <n v="0"/>
  </r>
  <r>
    <x v="11"/>
    <x v="0"/>
    <x v="14"/>
    <n v="81"/>
    <n v="8207"/>
    <n v="2"/>
    <n v="8290"/>
    <n v="0.98998793730000001"/>
    <n v="2.412545E-4"/>
    <n v="9.7708081999999998E-3"/>
  </r>
  <r>
    <x v="15"/>
    <x v="0"/>
    <x v="14"/>
    <n v="38"/>
    <n v="4345"/>
    <n v="0"/>
    <n v="4383"/>
    <n v="0.99133013920000002"/>
    <n v="0"/>
    <n v="8.6698608E-3"/>
  </r>
  <r>
    <x v="13"/>
    <x v="0"/>
    <x v="14"/>
    <n v="206"/>
    <n v="8622"/>
    <n v="0"/>
    <n v="8828"/>
    <n v="0.97666515629999995"/>
    <n v="0"/>
    <n v="2.33348437E-2"/>
  </r>
  <r>
    <x v="12"/>
    <x v="0"/>
    <x v="14"/>
    <n v="62"/>
    <n v="7495"/>
    <n v="0"/>
    <n v="7557"/>
    <n v="0.99179568610000002"/>
    <n v="0"/>
    <n v="8.2043138999999994E-3"/>
  </r>
  <r>
    <x v="14"/>
    <x v="0"/>
    <x v="14"/>
    <n v="116"/>
    <n v="11645"/>
    <n v="0"/>
    <n v="11761"/>
    <n v="0.99013689309999997"/>
    <n v="0"/>
    <n v="9.8631068999999998E-3"/>
  </r>
  <r>
    <x v="33"/>
    <x v="0"/>
    <x v="14"/>
    <n v="6"/>
    <n v="1555"/>
    <n v="0"/>
    <n v="1561"/>
    <n v="0.99615631010000005"/>
    <n v="0"/>
    <n v="3.8436898999999998E-3"/>
  </r>
  <r>
    <x v="16"/>
    <x v="0"/>
    <x v="14"/>
    <n v="6"/>
    <n v="3558"/>
    <n v="71"/>
    <n v="3635"/>
    <n v="0.97881705640000005"/>
    <n v="1.9532324600000001E-2"/>
    <n v="1.6506190000000001E-3"/>
  </r>
  <r>
    <x v="17"/>
    <x v="1"/>
    <x v="14"/>
    <n v="7"/>
    <n v="1496"/>
    <n v="149"/>
    <n v="1652"/>
    <n v="0.90556900730000001"/>
    <n v="9.0193704599999994E-2"/>
    <n v="4.2372881000000001E-3"/>
  </r>
  <r>
    <x v="18"/>
    <x v="1"/>
    <x v="14"/>
    <n v="89"/>
    <n v="2276"/>
    <n v="378"/>
    <n v="2743"/>
    <n v="0.82974845060000002"/>
    <n v="0.1378053226"/>
    <n v="3.2446226799999998E-2"/>
  </r>
  <r>
    <x v="21"/>
    <x v="1"/>
    <x v="14"/>
    <n v="236"/>
    <n v="4417"/>
    <n v="850"/>
    <n v="5503"/>
    <n v="0.80265309829999998"/>
    <n v="0.15446120299999999"/>
    <n v="4.2885698700000002E-2"/>
  </r>
  <r>
    <x v="20"/>
    <x v="1"/>
    <x v="14"/>
    <n v="617"/>
    <n v="13504"/>
    <n v="1090"/>
    <n v="15211"/>
    <n v="0.88777858129999998"/>
    <n v="7.1658668100000003E-2"/>
    <n v="4.0562750600000003E-2"/>
  </r>
  <r>
    <x v="19"/>
    <x v="1"/>
    <x v="14"/>
    <n v="86"/>
    <n v="4510"/>
    <n v="627"/>
    <n v="5223"/>
    <n v="0.86348841659999997"/>
    <n v="0.12004595060000001"/>
    <n v="1.6465632800000001E-2"/>
  </r>
  <r>
    <x v="22"/>
    <x v="1"/>
    <x v="14"/>
    <n v="43"/>
    <n v="5646"/>
    <n v="321"/>
    <n v="6010"/>
    <n v="0.93943427619999997"/>
    <n v="5.3410981699999999E-2"/>
    <n v="7.1547421E-3"/>
  </r>
  <r>
    <x v="23"/>
    <x v="1"/>
    <x v="14"/>
    <n v="130"/>
    <n v="4570"/>
    <n v="1472"/>
    <n v="6172"/>
    <n v="0.74044069990000005"/>
    <n v="0.23849643549999999"/>
    <n v="2.10628645E-2"/>
  </r>
  <r>
    <x v="24"/>
    <x v="1"/>
    <x v="14"/>
    <n v="295"/>
    <n v="7849"/>
    <n v="1040"/>
    <n v="9184"/>
    <n v="0.8546385017"/>
    <n v="0.1132404181"/>
    <n v="3.2121080099999998E-2"/>
  </r>
  <r>
    <x v="25"/>
    <x v="1"/>
    <x v="14"/>
    <n v="334"/>
    <n v="4433"/>
    <n v="908"/>
    <n v="5675"/>
    <n v="0.78114537439999998"/>
    <n v="0.16"/>
    <n v="5.8854625600000002E-2"/>
  </r>
  <r>
    <x v="26"/>
    <x v="1"/>
    <x v="14"/>
    <n v="270"/>
    <n v="8095"/>
    <n v="540"/>
    <n v="8905"/>
    <n v="0.90903986520000002"/>
    <n v="6.0640089799999998E-2"/>
    <n v="3.0320044899999999E-2"/>
  </r>
  <r>
    <x v="27"/>
    <x v="1"/>
    <x v="14"/>
    <n v="464"/>
    <n v="20102"/>
    <n v="4268"/>
    <n v="24834"/>
    <n v="0.80945477970000002"/>
    <n v="0.17186115809999999"/>
    <n v="1.86840622E-2"/>
  </r>
  <r>
    <x v="28"/>
    <x v="1"/>
    <x v="14"/>
    <n v="198"/>
    <n v="6040"/>
    <n v="1948"/>
    <n v="8186"/>
    <n v="0.73784510140000004"/>
    <n v="0.2379672612"/>
    <n v="2.41876374E-2"/>
  </r>
  <r>
    <x v="29"/>
    <x v="1"/>
    <x v="14"/>
    <n v="312"/>
    <n v="12318"/>
    <n v="541"/>
    <n v="13171"/>
    <n v="0.93523650439999995"/>
    <n v="4.1075089199999998E-2"/>
    <n v="2.3688406299999999E-2"/>
  </r>
  <r>
    <x v="34"/>
    <x v="0"/>
    <x v="14"/>
    <n v="564"/>
    <n v="106048"/>
    <n v="430"/>
    <n v="107042"/>
    <n v="0.99071392540000003"/>
    <n v="4.0171147999999999E-3"/>
    <n v="5.2689598000000004E-3"/>
  </r>
  <r>
    <x v="34"/>
    <x v="1"/>
    <x v="14"/>
    <n v="3081"/>
    <n v="95256"/>
    <n v="14132"/>
    <n v="112469"/>
    <n v="0.84695338269999998"/>
    <n v="0.125652402"/>
    <n v="2.73942153E-2"/>
  </r>
  <r>
    <x v="35"/>
    <x v="2"/>
    <x v="14"/>
    <n v="3645"/>
    <n v="201304"/>
    <n v="14562"/>
    <n v="219511"/>
    <n v="0.91705654839999995"/>
    <n v="6.6338361200000001E-2"/>
    <n v="1.6605090400000001E-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3">
  <r>
    <x v="0"/>
    <x v="0"/>
    <x v="0"/>
    <n v="25"/>
    <n v="34"/>
    <n v="259"/>
    <n v="318"/>
    <n v="0.106918239"/>
    <n v="0.81446540879999996"/>
    <n v="7.8616352200000003E-2"/>
  </r>
  <r>
    <x v="0"/>
    <x v="0"/>
    <x v="1"/>
    <n v="8"/>
    <n v="184"/>
    <n v="56"/>
    <n v="248"/>
    <n v="0.74193548389999997"/>
    <n v="0.22580645160000001"/>
    <n v="3.2258064500000003E-2"/>
  </r>
  <r>
    <x v="0"/>
    <x v="1"/>
    <x v="2"/>
    <n v="60"/>
    <n v="747"/>
    <n v="323"/>
    <n v="1130"/>
    <n v="0.66106194689999997"/>
    <n v="0.285840708"/>
    <n v="5.3097345099999999E-2"/>
  </r>
  <r>
    <x v="0"/>
    <x v="1"/>
    <x v="3"/>
    <n v="128"/>
    <n v="2189"/>
    <n v="3"/>
    <n v="2320"/>
    <n v="0.94353448279999996"/>
    <n v="1.2931034E-3"/>
    <n v="5.51724138E-2"/>
  </r>
  <r>
    <x v="0"/>
    <x v="1"/>
    <x v="4"/>
    <n v="7"/>
    <n v="755"/>
    <n v="79"/>
    <n v="841"/>
    <n v="0.89774078479999997"/>
    <n v="9.3935790699999994E-2"/>
    <n v="8.3234244999999991E-3"/>
  </r>
  <r>
    <x v="0"/>
    <x v="1"/>
    <x v="5"/>
    <n v="14"/>
    <n v="864"/>
    <n v="467"/>
    <n v="1345"/>
    <n v="0.64237918220000001"/>
    <n v="0.34721189590000001"/>
    <n v="1.04089219E-2"/>
  </r>
  <r>
    <x v="0"/>
    <x v="1"/>
    <x v="6"/>
    <n v="128"/>
    <n v="5619"/>
    <n v="6223"/>
    <n v="11970"/>
    <n v="0.46942355889999998"/>
    <n v="0.51988304090000004"/>
    <n v="1.06934002E-2"/>
  </r>
  <r>
    <x v="0"/>
    <x v="1"/>
    <x v="7"/>
    <n v="5"/>
    <n v="456"/>
    <n v="408"/>
    <n v="869"/>
    <n v="0.5247410817"/>
    <n v="0.4695051784"/>
    <n v="5.7537398999999998E-3"/>
  </r>
  <r>
    <x v="0"/>
    <x v="1"/>
    <x v="8"/>
    <n v="94"/>
    <n v="4023"/>
    <n v="347"/>
    <n v="4464"/>
    <n v="0.90120967740000002"/>
    <n v="7.7732974900000001E-2"/>
    <n v="2.10573477E-2"/>
  </r>
  <r>
    <x v="0"/>
    <x v="1"/>
    <x v="9"/>
    <n v="8"/>
    <n v="612"/>
    <n v="1020"/>
    <n v="1640"/>
    <n v="0.37317073169999998"/>
    <n v="0.62195121949999999"/>
    <n v="4.8780487999999997E-3"/>
  </r>
  <r>
    <x v="0"/>
    <x v="1"/>
    <x v="10"/>
    <n v="35"/>
    <n v="1817"/>
    <n v="209"/>
    <n v="2061"/>
    <n v="0.88161086850000003"/>
    <n v="0.1014070839"/>
    <n v="1.69820475E-2"/>
  </r>
  <r>
    <x v="0"/>
    <x v="1"/>
    <x v="11"/>
    <n v="85"/>
    <n v="736"/>
    <n v="270"/>
    <n v="1091"/>
    <n v="0.67461044910000001"/>
    <n v="0.2474793767"/>
    <n v="7.7910174200000001E-2"/>
  </r>
  <r>
    <x v="0"/>
    <x v="1"/>
    <x v="12"/>
    <n v="444"/>
    <n v="4627"/>
    <n v="997"/>
    <n v="6068"/>
    <n v="0.76252471980000003"/>
    <n v="0.16430454850000001"/>
    <n v="7.3170731700000005E-2"/>
  </r>
  <r>
    <x v="0"/>
    <x v="1"/>
    <x v="13"/>
    <n v="14"/>
    <n v="2375"/>
    <n v="359"/>
    <n v="2748"/>
    <n v="0.86426491989999998"/>
    <n v="0.13064046579999999"/>
    <n v="5.0946142999999996E-3"/>
  </r>
  <r>
    <x v="0"/>
    <x v="1"/>
    <x v="14"/>
    <n v="204"/>
    <n v="987"/>
    <n v="158"/>
    <n v="1349"/>
    <n v="0.73165307639999999"/>
    <n v="0.11712379539999999"/>
    <n v="0.1512231282"/>
  </r>
  <r>
    <x v="0"/>
    <x v="1"/>
    <x v="15"/>
    <n v="160"/>
    <n v="1038"/>
    <n v="408"/>
    <n v="1606"/>
    <n v="0.64632627649999996"/>
    <n v="0.25404732250000001"/>
    <n v="9.9626401000000003E-2"/>
  </r>
  <r>
    <x v="0"/>
    <x v="1"/>
    <x v="16"/>
    <n v="238"/>
    <n v="2242"/>
    <n v="9769"/>
    <n v="12249"/>
    <n v="0.1830353498"/>
    <n v="0.79753449259999998"/>
    <n v="1.9430157600000001E-2"/>
  </r>
  <r>
    <x v="0"/>
    <x v="1"/>
    <x v="17"/>
    <n v="11"/>
    <n v="1479"/>
    <n v="732"/>
    <n v="2222"/>
    <n v="0.66561656170000005"/>
    <n v="0.3294329433"/>
    <n v="4.9504950000000001E-3"/>
  </r>
  <r>
    <x v="0"/>
    <x v="1"/>
    <x v="18"/>
    <n v="412"/>
    <n v="5904"/>
    <n v="4067"/>
    <n v="10383"/>
    <n v="0.56862178559999998"/>
    <n v="0.39169796779999999"/>
    <n v="3.9680246600000003E-2"/>
  </r>
  <r>
    <x v="0"/>
    <x v="1"/>
    <x v="19"/>
    <n v="101"/>
    <n v="2212"/>
    <n v="407"/>
    <n v="2720"/>
    <n v="0.81323529409999995"/>
    <n v="0.14963235289999999"/>
    <n v="3.7132352899999999E-2"/>
  </r>
  <r>
    <x v="0"/>
    <x v="1"/>
    <x v="20"/>
    <n v="6"/>
    <n v="398"/>
    <n v="441"/>
    <n v="845"/>
    <n v="0.47100591720000001"/>
    <n v="0.52189349110000005"/>
    <n v="7.1005916999999997E-3"/>
  </r>
  <r>
    <x v="0"/>
    <x v="1"/>
    <x v="21"/>
    <n v="444"/>
    <n v="1691"/>
    <n v="5251"/>
    <n v="7386"/>
    <n v="0.22894665580000001"/>
    <n v="0.71093961549999996"/>
    <n v="6.0113728700000001E-2"/>
  </r>
  <r>
    <x v="0"/>
    <x v="1"/>
    <x v="22"/>
    <n v="517"/>
    <n v="2483"/>
    <n v="888"/>
    <n v="3888"/>
    <n v="0.63863168719999996"/>
    <n v="0.22839506170000001"/>
    <n v="0.13297325099999999"/>
  </r>
  <r>
    <x v="0"/>
    <x v="1"/>
    <x v="23"/>
    <n v="108"/>
    <n v="607"/>
    <n v="217"/>
    <n v="932"/>
    <n v="0.65128755360000001"/>
    <n v="0.23283261799999999"/>
    <n v="0.1158798283"/>
  </r>
  <r>
    <x v="0"/>
    <x v="1"/>
    <x v="24"/>
    <n v="4"/>
    <n v="877"/>
    <n v="306"/>
    <n v="1187"/>
    <n v="0.73883740519999996"/>
    <n v="0.25779275480000002"/>
    <n v="3.3698399000000002E-3"/>
  </r>
  <r>
    <x v="0"/>
    <x v="1"/>
    <x v="25"/>
    <n v="33"/>
    <n v="709"/>
    <n v="302"/>
    <n v="1044"/>
    <n v="0.67911877389999997"/>
    <n v="0.28927203070000002"/>
    <n v="3.1609195399999998E-2"/>
  </r>
  <r>
    <x v="1"/>
    <x v="0"/>
    <x v="0"/>
    <n v="22"/>
    <n v="54"/>
    <n v="245"/>
    <n v="321"/>
    <n v="0.1682242991"/>
    <n v="0.76323987540000005"/>
    <n v="6.8535825499999994E-2"/>
  </r>
  <r>
    <x v="1"/>
    <x v="0"/>
    <x v="1"/>
    <n v="115"/>
    <n v="879"/>
    <n v="145"/>
    <n v="1139"/>
    <n v="0.77172958739999997"/>
    <n v="0.12730465320000001"/>
    <n v="0.10096575939999999"/>
  </r>
  <r>
    <x v="1"/>
    <x v="1"/>
    <x v="2"/>
    <n v="93"/>
    <n v="696"/>
    <n v="341"/>
    <n v="1130"/>
    <n v="0.61592920350000002"/>
    <n v="0.30176991149999999"/>
    <n v="8.2300885000000004E-2"/>
  </r>
  <r>
    <x v="1"/>
    <x v="1"/>
    <x v="3"/>
    <n v="69"/>
    <n v="2300"/>
    <n v="1"/>
    <n v="2370"/>
    <n v="0.97046413499999995"/>
    <n v="4.2194090000000002E-4"/>
    <n v="2.9113924100000001E-2"/>
  </r>
  <r>
    <x v="1"/>
    <x v="1"/>
    <x v="4"/>
    <n v="11"/>
    <n v="839"/>
    <n v="84"/>
    <n v="934"/>
    <n v="0.89828693790000003"/>
    <n v="8.9935760200000006E-2"/>
    <n v="1.17773019E-2"/>
  </r>
  <r>
    <x v="1"/>
    <x v="1"/>
    <x v="5"/>
    <n v="18"/>
    <n v="875"/>
    <n v="477"/>
    <n v="1370"/>
    <n v="0.63868613139999997"/>
    <n v="0.34817518250000001"/>
    <n v="1.31386861E-2"/>
  </r>
  <r>
    <x v="1"/>
    <x v="1"/>
    <x v="6"/>
    <n v="472"/>
    <n v="5988"/>
    <n v="6495"/>
    <n v="12955"/>
    <n v="0.46221536089999998"/>
    <n v="0.50135082980000001"/>
    <n v="3.6433809300000002E-2"/>
  </r>
  <r>
    <x v="1"/>
    <x v="1"/>
    <x v="7"/>
    <n v="5"/>
    <n v="463"/>
    <n v="381"/>
    <n v="849"/>
    <n v="0.54534746759999997"/>
    <n v="0.44876325090000002"/>
    <n v="5.8892815000000003E-3"/>
  </r>
  <r>
    <x v="1"/>
    <x v="1"/>
    <x v="8"/>
    <n v="106"/>
    <n v="4028"/>
    <n v="375"/>
    <n v="4509"/>
    <n v="0.89332446219999995"/>
    <n v="8.3166999300000002E-2"/>
    <n v="2.3508538499999999E-2"/>
  </r>
  <r>
    <x v="1"/>
    <x v="1"/>
    <x v="9"/>
    <n v="29"/>
    <n v="485"/>
    <n v="1020"/>
    <n v="1534"/>
    <n v="0.31616688399999998"/>
    <n v="0.66492829200000003"/>
    <n v="1.8904824000000001E-2"/>
  </r>
  <r>
    <x v="1"/>
    <x v="1"/>
    <x v="10"/>
    <n v="26"/>
    <n v="1834"/>
    <n v="218"/>
    <n v="2078"/>
    <n v="0.88257940329999995"/>
    <n v="0.1049085659"/>
    <n v="1.2512030800000001E-2"/>
  </r>
  <r>
    <x v="1"/>
    <x v="1"/>
    <x v="11"/>
    <n v="100"/>
    <n v="852"/>
    <n v="232"/>
    <n v="1184"/>
    <n v="0.71959459459999997"/>
    <n v="0.1959459459"/>
    <n v="8.44594595E-2"/>
  </r>
  <r>
    <x v="1"/>
    <x v="1"/>
    <x v="12"/>
    <n v="563"/>
    <n v="4296"/>
    <n v="1013"/>
    <n v="5872"/>
    <n v="0.73160762940000001"/>
    <n v="0.172513624"/>
    <n v="9.5878746599999995E-2"/>
  </r>
  <r>
    <x v="1"/>
    <x v="1"/>
    <x v="13"/>
    <n v="12"/>
    <n v="2435"/>
    <n v="354"/>
    <n v="2801"/>
    <n v="0.86933238130000001"/>
    <n v="0.1263834345"/>
    <n v="4.2841842E-3"/>
  </r>
  <r>
    <x v="1"/>
    <x v="1"/>
    <x v="14"/>
    <n v="245"/>
    <n v="995"/>
    <n v="156"/>
    <n v="1396"/>
    <n v="0.71275071629999998"/>
    <n v="0.111747851"/>
    <n v="0.17550143269999999"/>
  </r>
  <r>
    <x v="1"/>
    <x v="1"/>
    <x v="15"/>
    <n v="166"/>
    <n v="1133"/>
    <n v="395"/>
    <n v="1694"/>
    <n v="0.66883116880000004"/>
    <n v="0.23317591500000001"/>
    <n v="9.7992916200000002E-2"/>
  </r>
  <r>
    <x v="1"/>
    <x v="1"/>
    <x v="16"/>
    <n v="305"/>
    <n v="2269"/>
    <n v="10107"/>
    <n v="12681"/>
    <n v="0.17892910649999999"/>
    <n v="0.79701916250000004"/>
    <n v="2.4051730899999998E-2"/>
  </r>
  <r>
    <x v="1"/>
    <x v="1"/>
    <x v="17"/>
    <n v="8"/>
    <n v="1541"/>
    <n v="769"/>
    <n v="2318"/>
    <n v="0.66479723899999998"/>
    <n v="0.33175150990000002"/>
    <n v="3.4512510999999998E-3"/>
  </r>
  <r>
    <x v="1"/>
    <x v="1"/>
    <x v="18"/>
    <n v="313"/>
    <n v="6016"/>
    <n v="4469"/>
    <n v="10798"/>
    <n v="0.55714021120000001"/>
    <n v="0.41387293939999997"/>
    <n v="2.89868494E-2"/>
  </r>
  <r>
    <x v="1"/>
    <x v="1"/>
    <x v="19"/>
    <n v="154"/>
    <n v="2193"/>
    <n v="394"/>
    <n v="2741"/>
    <n v="0.8000729661"/>
    <n v="0.14374315939999999"/>
    <n v="5.6183874500000001E-2"/>
  </r>
  <r>
    <x v="1"/>
    <x v="1"/>
    <x v="20"/>
    <n v="2"/>
    <n v="440"/>
    <n v="442"/>
    <n v="884"/>
    <n v="0.49773755660000002"/>
    <n v="0.5"/>
    <n v="2.2624434E-3"/>
  </r>
  <r>
    <x v="1"/>
    <x v="1"/>
    <x v="21"/>
    <n v="424"/>
    <n v="1623"/>
    <n v="5206"/>
    <n v="7253"/>
    <n v="0.2237694747"/>
    <n v="0.71777195640000002"/>
    <n v="5.8458568900000001E-2"/>
  </r>
  <r>
    <x v="1"/>
    <x v="1"/>
    <x v="22"/>
    <n v="733"/>
    <n v="2335"/>
    <n v="906"/>
    <n v="3974"/>
    <n v="0.5875691998"/>
    <n v="0.22798188220000001"/>
    <n v="0.18444891799999999"/>
  </r>
  <r>
    <x v="1"/>
    <x v="1"/>
    <x v="23"/>
    <n v="136"/>
    <n v="638"/>
    <n v="194"/>
    <n v="968"/>
    <n v="0.65909090910000001"/>
    <n v="0.20041322310000001"/>
    <n v="0.14049586780000001"/>
  </r>
  <r>
    <x v="1"/>
    <x v="1"/>
    <x v="24"/>
    <n v="2"/>
    <n v="804"/>
    <n v="325"/>
    <n v="1131"/>
    <n v="0.71087533160000005"/>
    <n v="0.28735632179999998"/>
    <n v="1.7683466000000001E-3"/>
  </r>
  <r>
    <x v="1"/>
    <x v="1"/>
    <x v="25"/>
    <n v="25"/>
    <n v="674"/>
    <n v="268"/>
    <n v="967"/>
    <n v="0.69700103410000003"/>
    <n v="0.27714581179999997"/>
    <n v="2.5853154100000001E-2"/>
  </r>
  <r>
    <x v="2"/>
    <x v="0"/>
    <x v="0"/>
    <n v="31"/>
    <n v="74"/>
    <n v="226"/>
    <n v="331"/>
    <n v="0.22356495470000001"/>
    <n v="0.68277945620000002"/>
    <n v="9.3655589100000006E-2"/>
  </r>
  <r>
    <x v="2"/>
    <x v="1"/>
    <x v="2"/>
    <n v="105"/>
    <n v="761"/>
    <n v="347"/>
    <n v="1213"/>
    <n v="0.62737015659999995"/>
    <n v="0.286067601"/>
    <n v="8.6562242400000003E-2"/>
  </r>
  <r>
    <x v="2"/>
    <x v="1"/>
    <x v="3"/>
    <n v="1829"/>
    <n v="800"/>
    <n v="0"/>
    <n v="2629"/>
    <n v="0.30429821219999997"/>
    <n v="0"/>
    <n v="0.69570178780000003"/>
  </r>
  <r>
    <x v="2"/>
    <x v="1"/>
    <x v="4"/>
    <n v="17"/>
    <n v="925"/>
    <n v="107"/>
    <n v="1049"/>
    <n v="0.88179218299999995"/>
    <n v="0.1020019066"/>
    <n v="1.6205910399999999E-2"/>
  </r>
  <r>
    <x v="2"/>
    <x v="1"/>
    <x v="5"/>
    <n v="28"/>
    <n v="914"/>
    <n v="404"/>
    <n v="1346"/>
    <n v="0.67904903419999996"/>
    <n v="0.30014858840000003"/>
    <n v="2.0802377399999999E-2"/>
  </r>
  <r>
    <x v="2"/>
    <x v="1"/>
    <x v="6"/>
    <n v="414"/>
    <n v="6178"/>
    <n v="6862"/>
    <n v="13454"/>
    <n v="0.45919429169999998"/>
    <n v="0.51003419059999999"/>
    <n v="3.0771517799999999E-2"/>
  </r>
  <r>
    <x v="2"/>
    <x v="1"/>
    <x v="7"/>
    <n v="19"/>
    <n v="424"/>
    <n v="367"/>
    <n v="810"/>
    <n v="0.52345679010000001"/>
    <n v="0.45308641979999997"/>
    <n v="2.34567901E-2"/>
  </r>
  <r>
    <x v="2"/>
    <x v="1"/>
    <x v="8"/>
    <n v="109"/>
    <n v="4127"/>
    <n v="391"/>
    <n v="4627"/>
    <n v="0.8919386211"/>
    <n v="8.4503998299999994E-2"/>
    <n v="2.35573806E-2"/>
  </r>
  <r>
    <x v="2"/>
    <x v="1"/>
    <x v="9"/>
    <n v="14"/>
    <n v="835"/>
    <n v="877"/>
    <n v="1726"/>
    <n v="0.48377752029999999"/>
    <n v="0.50811123989999996"/>
    <n v="8.1112399000000009E-3"/>
  </r>
  <r>
    <x v="2"/>
    <x v="1"/>
    <x v="10"/>
    <n v="24"/>
    <n v="1862"/>
    <n v="198"/>
    <n v="2084"/>
    <n v="0.89347408829999997"/>
    <n v="9.5009596900000007E-2"/>
    <n v="1.15163148E-2"/>
  </r>
  <r>
    <x v="2"/>
    <x v="1"/>
    <x v="11"/>
    <n v="131"/>
    <n v="763"/>
    <n v="191"/>
    <n v="1085"/>
    <n v="0.70322580649999999"/>
    <n v="0.17603686639999999"/>
    <n v="0.12073732719999999"/>
  </r>
  <r>
    <x v="2"/>
    <x v="1"/>
    <x v="12"/>
    <n v="698"/>
    <n v="4450"/>
    <n v="1196"/>
    <n v="6344"/>
    <n v="0.70145018920000002"/>
    <n v="0.18852459020000001"/>
    <n v="0.1100252207"/>
  </r>
  <r>
    <x v="2"/>
    <x v="1"/>
    <x v="13"/>
    <n v="3"/>
    <n v="2551"/>
    <n v="368"/>
    <n v="2922"/>
    <n v="0.87303216969999997"/>
    <n v="0.1259411362"/>
    <n v="1.0266940000000001E-3"/>
  </r>
  <r>
    <x v="2"/>
    <x v="1"/>
    <x v="14"/>
    <n v="313"/>
    <n v="2777"/>
    <n v="147"/>
    <n v="3237"/>
    <n v="0.85789311089999998"/>
    <n v="4.5412418900000001E-2"/>
    <n v="9.6694470199999993E-2"/>
  </r>
  <r>
    <x v="2"/>
    <x v="1"/>
    <x v="15"/>
    <n v="145"/>
    <n v="1186"/>
    <n v="396"/>
    <n v="1727"/>
    <n v="0.68674001159999998"/>
    <n v="0.22929936309999999"/>
    <n v="8.3960625400000002E-2"/>
  </r>
  <r>
    <x v="2"/>
    <x v="1"/>
    <x v="16"/>
    <n v="472"/>
    <n v="2424"/>
    <n v="8969"/>
    <n v="11865"/>
    <n v="0.2042983565"/>
    <n v="0.75592077540000002"/>
    <n v="3.9780868099999998E-2"/>
  </r>
  <r>
    <x v="2"/>
    <x v="1"/>
    <x v="17"/>
    <n v="6"/>
    <n v="1473"/>
    <n v="763"/>
    <n v="2242"/>
    <n v="0.65700267619999997"/>
    <n v="0.3403211418"/>
    <n v="2.676182E-3"/>
  </r>
  <r>
    <x v="2"/>
    <x v="1"/>
    <x v="18"/>
    <n v="679"/>
    <n v="6012"/>
    <n v="4496"/>
    <n v="11187"/>
    <n v="0.53740949319999998"/>
    <n v="0.40189505679999998"/>
    <n v="6.0695450099999999E-2"/>
  </r>
  <r>
    <x v="2"/>
    <x v="1"/>
    <x v="19"/>
    <n v="136"/>
    <n v="2249"/>
    <n v="413"/>
    <n v="2798"/>
    <n v="0.80378842029999997"/>
    <n v="0.14760543249999999"/>
    <n v="4.8606147199999998E-2"/>
  </r>
  <r>
    <x v="2"/>
    <x v="1"/>
    <x v="20"/>
    <n v="4"/>
    <n v="490"/>
    <n v="449"/>
    <n v="943"/>
    <n v="0.51961823969999998"/>
    <n v="0.47613997879999997"/>
    <n v="4.2417814999999998E-3"/>
  </r>
  <r>
    <x v="2"/>
    <x v="1"/>
    <x v="21"/>
    <n v="425"/>
    <n v="1447"/>
    <n v="5113"/>
    <n v="6985"/>
    <n v="0.2071581961"/>
    <n v="0.7319971367"/>
    <n v="6.0844667099999999E-2"/>
  </r>
  <r>
    <x v="2"/>
    <x v="1"/>
    <x v="22"/>
    <n v="754"/>
    <n v="2278"/>
    <n v="924"/>
    <n v="3956"/>
    <n v="0.57583417589999997"/>
    <n v="0.23356926189999999"/>
    <n v="0.19059656220000001"/>
  </r>
  <r>
    <x v="2"/>
    <x v="1"/>
    <x v="23"/>
    <n v="167"/>
    <n v="628"/>
    <n v="205"/>
    <n v="1000"/>
    <n v="0.628"/>
    <n v="0.20499999999999999"/>
    <n v="0.16700000000000001"/>
  </r>
  <r>
    <x v="2"/>
    <x v="1"/>
    <x v="24"/>
    <n v="6"/>
    <n v="872"/>
    <n v="332"/>
    <n v="1210"/>
    <n v="0.720661157"/>
    <n v="0.27438016529999998"/>
    <n v="4.9586776999999997E-3"/>
  </r>
  <r>
    <x v="2"/>
    <x v="1"/>
    <x v="25"/>
    <n v="15"/>
    <n v="693"/>
    <n v="291"/>
    <n v="999"/>
    <n v="0.6936936937"/>
    <n v="0.29129129129999998"/>
    <n v="1.5015015E-2"/>
  </r>
  <r>
    <x v="3"/>
    <x v="0"/>
    <x v="0"/>
    <n v="41"/>
    <n v="63"/>
    <n v="205"/>
    <n v="309"/>
    <n v="0.20388349510000001"/>
    <n v="0.66343042070000002"/>
    <n v="0.13268608409999999"/>
  </r>
  <r>
    <x v="3"/>
    <x v="1"/>
    <x v="2"/>
    <n v="86"/>
    <n v="739"/>
    <n v="326"/>
    <n v="1151"/>
    <n v="0.64205039100000005"/>
    <n v="0.28323197220000002"/>
    <n v="7.4717636800000001E-2"/>
  </r>
  <r>
    <x v="3"/>
    <x v="1"/>
    <x v="3"/>
    <n v="40"/>
    <n v="907"/>
    <n v="104"/>
    <n v="1051"/>
    <n v="0.86298763079999996"/>
    <n v="9.8953377699999998E-2"/>
    <n v="3.8058991399999999E-2"/>
  </r>
  <r>
    <x v="3"/>
    <x v="1"/>
    <x v="4"/>
    <n v="249"/>
    <n v="939"/>
    <n v="13"/>
    <n v="1201"/>
    <n v="0.78184845960000005"/>
    <n v="1.08243131E-2"/>
    <n v="0.2073272273"/>
  </r>
  <r>
    <x v="3"/>
    <x v="1"/>
    <x v="5"/>
    <n v="19"/>
    <n v="953"/>
    <n v="381"/>
    <n v="1353"/>
    <n v="0.70436067999999996"/>
    <n v="0.28159645230000002"/>
    <n v="1.4042867699999999E-2"/>
  </r>
  <r>
    <x v="3"/>
    <x v="1"/>
    <x v="6"/>
    <n v="492"/>
    <n v="6768"/>
    <n v="7459"/>
    <n v="14719"/>
    <n v="0.45981384600000003"/>
    <n v="0.50675997009999996"/>
    <n v="3.3426183800000002E-2"/>
  </r>
  <r>
    <x v="3"/>
    <x v="1"/>
    <x v="7"/>
    <n v="23"/>
    <n v="383"/>
    <n v="348"/>
    <n v="754"/>
    <n v="0.50795755970000001"/>
    <n v="0.4615384615"/>
    <n v="3.0503978800000001E-2"/>
  </r>
  <r>
    <x v="3"/>
    <x v="1"/>
    <x v="8"/>
    <n v="128"/>
    <n v="4484"/>
    <n v="359"/>
    <n v="4971"/>
    <n v="0.90203178429999997"/>
    <n v="7.2218869399999996E-2"/>
    <n v="2.5749346199999999E-2"/>
  </r>
  <r>
    <x v="3"/>
    <x v="1"/>
    <x v="9"/>
    <n v="17"/>
    <n v="873"/>
    <n v="845"/>
    <n v="1735"/>
    <n v="0.50317002879999995"/>
    <n v="0.48703170029999998"/>
    <n v="9.7982708999999994E-3"/>
  </r>
  <r>
    <x v="3"/>
    <x v="1"/>
    <x v="10"/>
    <n v="44"/>
    <n v="1695"/>
    <n v="204"/>
    <n v="1943"/>
    <n v="0.87236232629999999"/>
    <n v="0.10499227999999999"/>
    <n v="2.2645393699999999E-2"/>
  </r>
  <r>
    <x v="3"/>
    <x v="1"/>
    <x v="11"/>
    <n v="83"/>
    <n v="695"/>
    <n v="244"/>
    <n v="1022"/>
    <n v="0.68003913890000001"/>
    <n v="0.23874755380000001"/>
    <n v="8.1213307200000001E-2"/>
  </r>
  <r>
    <x v="3"/>
    <x v="1"/>
    <x v="12"/>
    <n v="765"/>
    <n v="4335"/>
    <n v="1283"/>
    <n v="6383"/>
    <n v="0.67914773620000002"/>
    <n v="0.2010026633"/>
    <n v="0.1198496005"/>
  </r>
  <r>
    <x v="3"/>
    <x v="1"/>
    <x v="13"/>
    <n v="5"/>
    <n v="2572"/>
    <n v="357"/>
    <n v="2934"/>
    <n v="0.87661895020000002"/>
    <n v="0.1216768916"/>
    <n v="1.7041580999999999E-3"/>
  </r>
  <r>
    <x v="3"/>
    <x v="1"/>
    <x v="14"/>
    <n v="296"/>
    <n v="2899"/>
    <n v="181"/>
    <n v="3376"/>
    <n v="0.85870853079999998"/>
    <n v="5.3613744099999999E-2"/>
    <n v="8.7677725100000006E-2"/>
  </r>
  <r>
    <x v="3"/>
    <x v="1"/>
    <x v="15"/>
    <n v="157"/>
    <n v="1234"/>
    <n v="398"/>
    <n v="1789"/>
    <n v="0.68977082170000004"/>
    <n v="0.22247065399999999"/>
    <n v="8.7758524300000001E-2"/>
  </r>
  <r>
    <x v="3"/>
    <x v="1"/>
    <x v="16"/>
    <n v="1322"/>
    <n v="2457"/>
    <n v="8147"/>
    <n v="11926"/>
    <n v="0.2060204595"/>
    <n v="0.68312929730000005"/>
    <n v="0.1108502432"/>
  </r>
  <r>
    <x v="3"/>
    <x v="1"/>
    <x v="17"/>
    <n v="15"/>
    <n v="1373"/>
    <n v="732"/>
    <n v="2120"/>
    <n v="0.64764150939999998"/>
    <n v="0.34528301890000002"/>
    <n v="7.0754716999999996E-3"/>
  </r>
  <r>
    <x v="3"/>
    <x v="1"/>
    <x v="18"/>
    <n v="860"/>
    <n v="5664"/>
    <n v="4635"/>
    <n v="11159"/>
    <n v="0.50757236309999998"/>
    <n v="0.4153597993"/>
    <n v="7.7067837599999994E-2"/>
  </r>
  <r>
    <x v="3"/>
    <x v="1"/>
    <x v="19"/>
    <n v="110"/>
    <n v="2393"/>
    <n v="419"/>
    <n v="2922"/>
    <n v="0.81895961669999995"/>
    <n v="0.143394935"/>
    <n v="3.7645448300000002E-2"/>
  </r>
  <r>
    <x v="3"/>
    <x v="1"/>
    <x v="20"/>
    <n v="2"/>
    <n v="513"/>
    <n v="436"/>
    <n v="951"/>
    <n v="0.53943217669999999"/>
    <n v="0.45846477390000001"/>
    <n v="2.1030494000000002E-3"/>
  </r>
  <r>
    <x v="3"/>
    <x v="1"/>
    <x v="21"/>
    <n v="500"/>
    <n v="1353"/>
    <n v="5193"/>
    <n v="7046"/>
    <n v="0.1920238433"/>
    <n v="0.73701390860000005"/>
    <n v="7.09622481E-2"/>
  </r>
  <r>
    <x v="3"/>
    <x v="1"/>
    <x v="22"/>
    <n v="37"/>
    <n v="793"/>
    <n v="52"/>
    <n v="882"/>
    <n v="0.89909297050000003"/>
    <n v="5.8956916099999999E-2"/>
    <n v="4.1950113400000003E-2"/>
  </r>
  <r>
    <x v="3"/>
    <x v="1"/>
    <x v="23"/>
    <n v="170"/>
    <n v="694"/>
    <n v="223"/>
    <n v="1087"/>
    <n v="0.63845446179999998"/>
    <n v="0.20515179389999999"/>
    <n v="0.1563937443"/>
  </r>
  <r>
    <x v="3"/>
    <x v="1"/>
    <x v="24"/>
    <n v="22"/>
    <n v="732"/>
    <n v="329"/>
    <n v="1083"/>
    <n v="0.67590027699999999"/>
    <n v="0.30378578020000002"/>
    <n v="2.0313942799999998E-2"/>
  </r>
  <r>
    <x v="3"/>
    <x v="1"/>
    <x v="25"/>
    <n v="20"/>
    <n v="772"/>
    <n v="304"/>
    <n v="1096"/>
    <n v="0.70437956199999996"/>
    <n v="0.27737226279999999"/>
    <n v="1.8248175200000001E-2"/>
  </r>
  <r>
    <x v="4"/>
    <x v="0"/>
    <x v="0"/>
    <n v="33"/>
    <n v="46"/>
    <n v="224"/>
    <n v="303"/>
    <n v="0.15181518150000001"/>
    <n v="0.73927392739999997"/>
    <n v="0.1089108911"/>
  </r>
  <r>
    <x v="4"/>
    <x v="0"/>
    <x v="1"/>
    <n v="34"/>
    <n v="823"/>
    <n v="52"/>
    <n v="909"/>
    <n v="0.9053905391"/>
    <n v="5.7205720600000003E-2"/>
    <n v="3.7403740400000003E-2"/>
  </r>
  <r>
    <x v="4"/>
    <x v="1"/>
    <x v="2"/>
    <n v="116"/>
    <n v="759"/>
    <n v="347"/>
    <n v="1222"/>
    <n v="0.62111292959999997"/>
    <n v="0.28396072010000001"/>
    <n v="9.4926350199999995E-2"/>
  </r>
  <r>
    <x v="4"/>
    <x v="1"/>
    <x v="3"/>
    <n v="0"/>
    <n v="1337"/>
    <n v="9"/>
    <n v="1346"/>
    <n v="0.99331352149999996"/>
    <n v="6.6864784999999998E-3"/>
    <n v="0"/>
  </r>
  <r>
    <x v="4"/>
    <x v="1"/>
    <x v="4"/>
    <n v="25"/>
    <n v="1023"/>
    <n v="128"/>
    <n v="1176"/>
    <n v="0.86989795920000001"/>
    <n v="0.1088435374"/>
    <n v="2.12585034E-2"/>
  </r>
  <r>
    <x v="4"/>
    <x v="1"/>
    <x v="5"/>
    <n v="19"/>
    <n v="1044"/>
    <n v="317"/>
    <n v="1380"/>
    <n v="0.75652173909999998"/>
    <n v="0.2297101449"/>
    <n v="1.3768115900000001E-2"/>
  </r>
  <r>
    <x v="4"/>
    <x v="1"/>
    <x v="6"/>
    <n v="450"/>
    <n v="7250"/>
    <n v="8420"/>
    <n v="16120"/>
    <n v="0.44975186099999998"/>
    <n v="0.52233250620000005"/>
    <n v="2.79156328E-2"/>
  </r>
  <r>
    <x v="4"/>
    <x v="1"/>
    <x v="7"/>
    <n v="18"/>
    <n v="383"/>
    <n v="370"/>
    <n v="771"/>
    <n v="0.49675745780000002"/>
    <n v="0.47989623869999998"/>
    <n v="2.3346303499999999E-2"/>
  </r>
  <r>
    <x v="4"/>
    <x v="1"/>
    <x v="8"/>
    <n v="125"/>
    <n v="4544"/>
    <n v="426"/>
    <n v="5095"/>
    <n v="0.89185475960000005"/>
    <n v="8.36113837E-2"/>
    <n v="2.4533856699999999E-2"/>
  </r>
  <r>
    <x v="4"/>
    <x v="1"/>
    <x v="9"/>
    <n v="18"/>
    <n v="888"/>
    <n v="864"/>
    <n v="1770"/>
    <n v="0.50169491529999999"/>
    <n v="0.4881355932"/>
    <n v="1.0169491500000001E-2"/>
  </r>
  <r>
    <x v="4"/>
    <x v="1"/>
    <x v="10"/>
    <n v="65"/>
    <n v="1435"/>
    <n v="189"/>
    <n v="1689"/>
    <n v="0.8496151569"/>
    <n v="0.1119005329"/>
    <n v="3.8484310200000003E-2"/>
  </r>
  <r>
    <x v="4"/>
    <x v="1"/>
    <x v="11"/>
    <n v="95"/>
    <n v="826"/>
    <n v="255"/>
    <n v="1176"/>
    <n v="0.70238095239999998"/>
    <n v="0.21683673470000001"/>
    <n v="8.07823129E-2"/>
  </r>
  <r>
    <x v="4"/>
    <x v="1"/>
    <x v="12"/>
    <n v="738"/>
    <n v="4792"/>
    <n v="1640"/>
    <n v="7170"/>
    <n v="0.66834030680000001"/>
    <n v="0.22873082289999999"/>
    <n v="0.1029288703"/>
  </r>
  <r>
    <x v="4"/>
    <x v="1"/>
    <x v="13"/>
    <n v="11"/>
    <n v="2574"/>
    <n v="383"/>
    <n v="2968"/>
    <n v="0.86725067389999999"/>
    <n v="0.12904312670000001"/>
    <n v="3.7061995E-3"/>
  </r>
  <r>
    <x v="4"/>
    <x v="1"/>
    <x v="14"/>
    <n v="243"/>
    <n v="3212"/>
    <n v="184"/>
    <n v="3639"/>
    <n v="0.88266007140000002"/>
    <n v="5.0563341599999999E-2"/>
    <n v="6.6776586999999998E-2"/>
  </r>
  <r>
    <x v="4"/>
    <x v="1"/>
    <x v="15"/>
    <n v="129"/>
    <n v="1274"/>
    <n v="387"/>
    <n v="1790"/>
    <n v="0.71173184359999997"/>
    <n v="0.2162011173"/>
    <n v="7.2067039099999994E-2"/>
  </r>
  <r>
    <x v="4"/>
    <x v="1"/>
    <x v="16"/>
    <n v="641"/>
    <n v="2485"/>
    <n v="7894"/>
    <n v="11020"/>
    <n v="0.22549909260000001"/>
    <n v="0.71633393830000003"/>
    <n v="5.81669691E-2"/>
  </r>
  <r>
    <x v="4"/>
    <x v="1"/>
    <x v="17"/>
    <n v="8"/>
    <n v="1369"/>
    <n v="730"/>
    <n v="2107"/>
    <n v="0.64973896539999998"/>
    <n v="0.3464641671"/>
    <n v="3.7968676E-3"/>
  </r>
  <r>
    <x v="4"/>
    <x v="1"/>
    <x v="18"/>
    <n v="827"/>
    <n v="6464"/>
    <n v="5113"/>
    <n v="12404"/>
    <n v="0.52112221859999996"/>
    <n v="0.4122057401"/>
    <n v="6.6672041299999998E-2"/>
  </r>
  <r>
    <x v="4"/>
    <x v="1"/>
    <x v="19"/>
    <n v="25"/>
    <n v="2465"/>
    <n v="420"/>
    <n v="2910"/>
    <n v="0.84707903780000005"/>
    <n v="0.1443298969"/>
    <n v="8.5910653000000007E-3"/>
  </r>
  <r>
    <x v="4"/>
    <x v="1"/>
    <x v="20"/>
    <n v="3"/>
    <n v="462"/>
    <n v="374"/>
    <n v="839"/>
    <n v="0.55065554230000002"/>
    <n v="0.4457687723"/>
    <n v="3.5756853E-3"/>
  </r>
  <r>
    <x v="4"/>
    <x v="1"/>
    <x v="21"/>
    <n v="586"/>
    <n v="1294"/>
    <n v="5258"/>
    <n v="7138"/>
    <n v="0.18128327259999999"/>
    <n v="0.73662090219999998"/>
    <n v="8.20958252E-2"/>
  </r>
  <r>
    <x v="4"/>
    <x v="1"/>
    <x v="22"/>
    <n v="107"/>
    <n v="2701"/>
    <n v="939"/>
    <n v="3747"/>
    <n v="0.72084334130000005"/>
    <n v="0.25060048039999999"/>
    <n v="2.8556178299999999E-2"/>
  </r>
  <r>
    <x v="4"/>
    <x v="1"/>
    <x v="23"/>
    <n v="165"/>
    <n v="747"/>
    <n v="227"/>
    <n v="1139"/>
    <n v="0.65583845480000003"/>
    <n v="0.19929762949999999"/>
    <n v="0.14486391570000001"/>
  </r>
  <r>
    <x v="4"/>
    <x v="1"/>
    <x v="24"/>
    <n v="28"/>
    <n v="671"/>
    <n v="361"/>
    <n v="1060"/>
    <n v="0.63301886789999995"/>
    <n v="0.34056603769999999"/>
    <n v="2.6415094300000001E-2"/>
  </r>
  <r>
    <x v="4"/>
    <x v="1"/>
    <x v="25"/>
    <n v="9"/>
    <n v="798"/>
    <n v="303"/>
    <n v="1110"/>
    <n v="0.71891891890000004"/>
    <n v="0.27297297300000001"/>
    <n v="8.1081081000000006E-3"/>
  </r>
  <r>
    <x v="0"/>
    <x v="0"/>
    <x v="26"/>
    <n v="33"/>
    <n v="218"/>
    <n v="315"/>
    <n v="566"/>
    <n v="0.38515901060000002"/>
    <n v="0.55653710249999999"/>
    <n v="5.8303886899999997E-2"/>
  </r>
  <r>
    <x v="0"/>
    <x v="1"/>
    <x v="26"/>
    <n v="3260"/>
    <n v="45447"/>
    <n v="33651"/>
    <n v="82358"/>
    <n v="0.5518225309"/>
    <n v="0.4085941864"/>
    <n v="3.95832827E-2"/>
  </r>
  <r>
    <x v="1"/>
    <x v="0"/>
    <x v="26"/>
    <n v="137"/>
    <n v="933"/>
    <n v="390"/>
    <n v="1460"/>
    <n v="0.63904109590000002"/>
    <n v="0.26712328769999999"/>
    <n v="9.3835616400000002E-2"/>
  </r>
  <r>
    <x v="1"/>
    <x v="1"/>
    <x v="26"/>
    <n v="4017"/>
    <n v="45752"/>
    <n v="34622"/>
    <n v="84391"/>
    <n v="0.54214311950000005"/>
    <n v="0.41025701790000002"/>
    <n v="4.7599862499999999E-2"/>
  </r>
  <r>
    <x v="2"/>
    <x v="0"/>
    <x v="26"/>
    <n v="31"/>
    <n v="74"/>
    <n v="226"/>
    <n v="331"/>
    <n v="0.22356495470000001"/>
    <n v="0.68277945620000002"/>
    <n v="9.3655589100000006E-2"/>
  </r>
  <r>
    <x v="2"/>
    <x v="1"/>
    <x v="26"/>
    <n v="6513"/>
    <n v="47119"/>
    <n v="33806"/>
    <n v="87438"/>
    <n v="0.53888469539999995"/>
    <n v="0.38662823940000002"/>
    <n v="7.4487065099999999E-2"/>
  </r>
  <r>
    <x v="3"/>
    <x v="0"/>
    <x v="26"/>
    <n v="41"/>
    <n v="63"/>
    <n v="205"/>
    <n v="309"/>
    <n v="0.20388349510000001"/>
    <n v="0.66343042070000002"/>
    <n v="0.13268608409999999"/>
  </r>
  <r>
    <x v="3"/>
    <x v="1"/>
    <x v="26"/>
    <n v="5462"/>
    <n v="46220"/>
    <n v="32972"/>
    <n v="84654"/>
    <n v="0.54598719490000003"/>
    <n v="0.38949134120000001"/>
    <n v="6.4521463799999998E-2"/>
  </r>
  <r>
    <x v="4"/>
    <x v="0"/>
    <x v="26"/>
    <n v="67"/>
    <n v="869"/>
    <n v="276"/>
    <n v="1212"/>
    <n v="0.71699669970000002"/>
    <n v="0.22772277229999999"/>
    <n v="5.5280528099999997E-2"/>
  </r>
  <r>
    <x v="4"/>
    <x v="1"/>
    <x v="26"/>
    <n v="4451"/>
    <n v="50797"/>
    <n v="35538"/>
    <n v="90786"/>
    <n v="0.55952459629999995"/>
    <n v="0.3914480206"/>
    <n v="4.9027383100000002E-2"/>
  </r>
  <r>
    <x v="0"/>
    <x v="2"/>
    <x v="27"/>
    <n v="3293"/>
    <n v="45665"/>
    <n v="33966"/>
    <n v="82924"/>
    <n v="0.55068496450000004"/>
    <n v="0.40960397469999998"/>
    <n v="3.9711060700000002E-2"/>
  </r>
  <r>
    <x v="1"/>
    <x v="2"/>
    <x v="27"/>
    <n v="4154"/>
    <n v="46685"/>
    <n v="35012"/>
    <n v="85851"/>
    <n v="0.54379098670000003"/>
    <n v="0.4078228559"/>
    <n v="4.8386157399999997E-2"/>
  </r>
  <r>
    <x v="2"/>
    <x v="2"/>
    <x v="27"/>
    <n v="6544"/>
    <n v="47193"/>
    <n v="34032"/>
    <n v="87769"/>
    <n v="0.5376955417"/>
    <n v="0.38774510359999997"/>
    <n v="7.4559354699999997E-2"/>
  </r>
  <r>
    <x v="3"/>
    <x v="2"/>
    <x v="27"/>
    <n v="5503"/>
    <n v="46283"/>
    <n v="33177"/>
    <n v="84963"/>
    <n v="0.54474300580000001"/>
    <n v="0.39048762399999998"/>
    <n v="6.4769370199999995E-2"/>
  </r>
  <r>
    <x v="4"/>
    <x v="2"/>
    <x v="27"/>
    <n v="4518"/>
    <n v="51666"/>
    <n v="35814"/>
    <n v="91998"/>
    <n v="0.56159916519999997"/>
    <n v="0.38929107149999997"/>
    <n v="4.9109763299999998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3" cacheId="6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Q45" firstHeaderRow="1" firstDataRow="2" firstDataCol="1"/>
  <pivotFields count="10">
    <pivotField axis="axisRow" showAll="0">
      <items count="37">
        <item x="34"/>
        <item x="0"/>
        <item x="1"/>
        <item x="17"/>
        <item x="2"/>
        <item x="18"/>
        <item x="30"/>
        <item x="32"/>
        <item x="31"/>
        <item x="3"/>
        <item x="4"/>
        <item x="5"/>
        <item x="6"/>
        <item x="21"/>
        <item x="20"/>
        <item x="8"/>
        <item x="7"/>
        <item x="19"/>
        <item x="22"/>
        <item x="9"/>
        <item x="23"/>
        <item x="10"/>
        <item x="24"/>
        <item x="11"/>
        <item x="15"/>
        <item x="35"/>
        <item x="13"/>
        <item x="12"/>
        <item x="14"/>
        <item x="33"/>
        <item x="16"/>
        <item x="25"/>
        <item x="26"/>
        <item x="27"/>
        <item x="28"/>
        <item x="29"/>
        <item t="default"/>
      </items>
    </pivotField>
    <pivotField axis="axisRow" showAll="0" sortType="descending">
      <items count="4">
        <item x="2"/>
        <item x="1"/>
        <item x="0"/>
        <item t="default"/>
      </items>
    </pivotField>
    <pivotField axis="axisCol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</pivotFields>
  <rowFields count="2">
    <field x="1"/>
    <field x="0"/>
  </rowFields>
  <rowItems count="41">
    <i>
      <x/>
    </i>
    <i r="1">
      <x v="25"/>
    </i>
    <i>
      <x v="1"/>
    </i>
    <i r="1">
      <x/>
    </i>
    <i r="1">
      <x v="3"/>
    </i>
    <i r="1">
      <x v="5"/>
    </i>
    <i r="1">
      <x v="13"/>
    </i>
    <i r="1">
      <x v="14"/>
    </i>
    <i r="1">
      <x v="17"/>
    </i>
    <i r="1">
      <x v="18"/>
    </i>
    <i r="1">
      <x v="20"/>
    </i>
    <i r="1">
      <x v="22"/>
    </i>
    <i r="1">
      <x v="31"/>
    </i>
    <i r="1">
      <x v="32"/>
    </i>
    <i r="1">
      <x v="33"/>
    </i>
    <i r="1">
      <x v="34"/>
    </i>
    <i r="1">
      <x v="35"/>
    </i>
    <i>
      <x v="2"/>
    </i>
    <i r="1">
      <x/>
    </i>
    <i r="1">
      <x v="1"/>
    </i>
    <i r="1">
      <x v="2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5"/>
    </i>
    <i r="1">
      <x v="16"/>
    </i>
    <i r="1">
      <x v="19"/>
    </i>
    <i r="1">
      <x v="21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0"/>
    </i>
    <i t="grand">
      <x/>
    </i>
  </rowItems>
  <colFields count="1">
    <field x="2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Sum of peroutstate" fld="8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4" cacheId="6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G37" firstHeaderRow="1" firstDataRow="2" firstDataCol="1"/>
  <pivotFields count="10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 sortType="descending">
      <items count="4">
        <item x="2"/>
        <item x="1"/>
        <item x="0"/>
        <item t="default"/>
      </items>
    </pivotField>
    <pivotField axis="axisRow" showAll="0">
      <items count="29">
        <item x="26"/>
        <item x="2"/>
        <item x="3"/>
        <item x="4"/>
        <item x="5"/>
        <item x="6"/>
        <item x="0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7"/>
        <item x="20"/>
        <item x="21"/>
        <item x="22"/>
        <item x="1"/>
        <item x="23"/>
        <item x="24"/>
        <item x="25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</pivotFields>
  <rowFields count="2">
    <field x="1"/>
    <field x="2"/>
  </rowFields>
  <rowItems count="33">
    <i>
      <x/>
    </i>
    <i r="1">
      <x v="20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3"/>
    </i>
    <i r="1">
      <x v="25"/>
    </i>
    <i r="1">
      <x v="26"/>
    </i>
    <i r="1">
      <x v="27"/>
    </i>
    <i>
      <x v="2"/>
    </i>
    <i r="1">
      <x/>
    </i>
    <i r="1">
      <x v="6"/>
    </i>
    <i r="1">
      <x v="24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peroutstate" fld="8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N410"/>
  <sheetViews>
    <sheetView tabSelected="1" showOutlineSymbols="0" view="pageBreakPreview" zoomScale="90" zoomScaleNormal="100" zoomScaleSheetLayoutView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60" sqref="A60"/>
    </sheetView>
  </sheetViews>
  <sheetFormatPr defaultColWidth="15.796875" defaultRowHeight="11.25"/>
  <cols>
    <col min="1" max="1" width="42.59765625" style="1" customWidth="1"/>
    <col min="2" max="2" width="7" style="1" customWidth="1"/>
    <col min="3" max="6" width="7" style="1" hidden="1" customWidth="1"/>
    <col min="7" max="8" width="6.796875" style="1" hidden="1" customWidth="1"/>
    <col min="9" max="12" width="6.796875" style="1" customWidth="1"/>
    <col min="13" max="14" width="9" style="1" bestFit="1" customWidth="1"/>
    <col min="15" max="16" width="8.19921875" style="1" customWidth="1"/>
    <col min="17" max="23" width="8" style="1" hidden="1" customWidth="1"/>
    <col min="24" max="24" width="8.59765625" style="61" hidden="1" customWidth="1"/>
    <col min="25" max="25" width="9" style="20" hidden="1" customWidth="1"/>
    <col min="26" max="26" width="9.19921875" style="61" hidden="1" customWidth="1"/>
    <col min="27" max="27" width="8.19921875" style="1" hidden="1" customWidth="1"/>
    <col min="28" max="28" width="9.19921875" style="66" hidden="1" customWidth="1"/>
    <col min="29" max="29" width="8.19921875" style="1" hidden="1" customWidth="1"/>
    <col min="30" max="30" width="9.19921875" style="61" hidden="1" customWidth="1"/>
    <col min="31" max="31" width="8" style="1" hidden="1" customWidth="1"/>
    <col min="32" max="32" width="8" style="61" hidden="1" customWidth="1"/>
    <col min="33" max="33" width="8.19921875" style="1" hidden="1" customWidth="1"/>
    <col min="34" max="34" width="9.19921875" style="61" hidden="1" customWidth="1"/>
    <col min="35" max="35" width="8.19921875" style="55" hidden="1" customWidth="1"/>
    <col min="36" max="36" width="15" style="61" hidden="1" customWidth="1"/>
    <col min="37" max="37" width="7.3984375" style="1" hidden="1" customWidth="1"/>
    <col min="38" max="38" width="8.59765625" style="61" hidden="1" customWidth="1"/>
    <col min="39" max="196" width="15.796875" style="1" customWidth="1"/>
    <col min="197" max="16384" width="15.796875" style="21"/>
  </cols>
  <sheetData>
    <row r="1" spans="1:38" ht="12.75" customHeight="1">
      <c r="A1" s="19" t="s">
        <v>87</v>
      </c>
    </row>
    <row r="2" spans="1:38" ht="12.75" customHeight="1">
      <c r="A2" s="19" t="s">
        <v>0</v>
      </c>
    </row>
    <row r="3" spans="1:38" ht="12.75" customHeight="1">
      <c r="A3" s="19" t="s">
        <v>142</v>
      </c>
    </row>
    <row r="4" spans="1:38" ht="12.75" customHeight="1" thickBo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0"/>
      <c r="X4" s="62"/>
      <c r="Y4" s="53"/>
      <c r="Z4" s="62"/>
      <c r="AA4" s="50"/>
      <c r="AB4" s="69"/>
      <c r="AC4" s="50"/>
      <c r="AD4" s="62"/>
      <c r="AE4" s="50"/>
      <c r="AF4" s="62"/>
      <c r="AG4" s="50"/>
      <c r="AH4" s="62"/>
      <c r="AI4" s="56"/>
      <c r="AJ4" s="62"/>
    </row>
    <row r="5" spans="1:38" ht="12.75" customHeight="1" thickTop="1">
      <c r="A5" s="2"/>
      <c r="B5" s="91" t="s">
        <v>99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3"/>
      <c r="Q5" s="3" t="s">
        <v>1</v>
      </c>
      <c r="R5" s="3"/>
      <c r="S5" s="3"/>
      <c r="T5" s="3"/>
      <c r="U5" s="3"/>
      <c r="V5" s="3"/>
      <c r="W5" s="15"/>
      <c r="X5" s="63"/>
      <c r="Y5" s="22"/>
      <c r="Z5" s="63"/>
      <c r="AA5" s="15"/>
      <c r="AB5" s="73" t="s">
        <v>1</v>
      </c>
      <c r="AC5" s="3"/>
      <c r="AD5" s="73"/>
      <c r="AE5" s="3"/>
      <c r="AF5" s="73"/>
      <c r="AG5" s="3"/>
      <c r="AI5" s="57"/>
      <c r="AJ5" s="73"/>
    </row>
    <row r="6" spans="1:38" ht="12.75" customHeight="1">
      <c r="A6" s="2"/>
      <c r="B6" s="35" t="s">
        <v>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9"/>
      <c r="P6" s="46"/>
      <c r="Q6" s="3" t="s">
        <v>3</v>
      </c>
      <c r="R6" s="3"/>
      <c r="S6" s="3"/>
      <c r="T6" s="3"/>
      <c r="U6" s="3"/>
      <c r="V6" s="3"/>
      <c r="W6" s="15"/>
      <c r="X6" s="63"/>
      <c r="Y6" s="22"/>
      <c r="Z6" s="63"/>
      <c r="AA6" s="15"/>
      <c r="AB6" s="73" t="s">
        <v>3</v>
      </c>
      <c r="AC6" s="3"/>
      <c r="AD6" s="73"/>
      <c r="AE6" s="3"/>
      <c r="AF6" s="73"/>
      <c r="AG6" s="3"/>
      <c r="AJ6" s="73"/>
    </row>
    <row r="7" spans="1:38" ht="12.75" customHeight="1">
      <c r="B7" s="36" t="s">
        <v>4</v>
      </c>
      <c r="C7" s="4" t="s">
        <v>4</v>
      </c>
      <c r="D7" s="4" t="s">
        <v>4</v>
      </c>
      <c r="E7" s="4" t="s">
        <v>4</v>
      </c>
      <c r="F7" s="4" t="s">
        <v>4</v>
      </c>
      <c r="G7" s="4" t="s">
        <v>4</v>
      </c>
      <c r="H7" s="4" t="s">
        <v>4</v>
      </c>
      <c r="I7" s="4" t="s">
        <v>4</v>
      </c>
      <c r="J7" s="4" t="s">
        <v>4</v>
      </c>
      <c r="K7" s="4" t="s">
        <v>90</v>
      </c>
      <c r="L7" s="4" t="s">
        <v>4</v>
      </c>
      <c r="M7" s="4" t="s">
        <v>4</v>
      </c>
      <c r="N7" s="4" t="s">
        <v>4</v>
      </c>
      <c r="O7" s="4" t="s">
        <v>4</v>
      </c>
      <c r="P7" s="43" t="s">
        <v>4</v>
      </c>
      <c r="Q7" s="43" t="s">
        <v>4</v>
      </c>
      <c r="R7" s="43" t="s">
        <v>4</v>
      </c>
      <c r="S7" s="43" t="s">
        <v>4</v>
      </c>
      <c r="T7" s="43" t="s">
        <v>4</v>
      </c>
      <c r="U7" s="43" t="s">
        <v>4</v>
      </c>
      <c r="V7" s="43" t="s">
        <v>4</v>
      </c>
      <c r="W7" s="43" t="s">
        <v>4</v>
      </c>
      <c r="X7" s="43" t="s">
        <v>4</v>
      </c>
      <c r="Y7" s="43" t="s">
        <v>4</v>
      </c>
      <c r="Z7" s="43" t="s">
        <v>4</v>
      </c>
      <c r="AA7" s="43" t="s">
        <v>4</v>
      </c>
      <c r="AB7" s="43" t="s">
        <v>4</v>
      </c>
      <c r="AC7" s="43" t="s">
        <v>4</v>
      </c>
      <c r="AD7" s="43" t="s">
        <v>4</v>
      </c>
      <c r="AE7" s="43" t="s">
        <v>4</v>
      </c>
      <c r="AF7" s="43" t="s">
        <v>4</v>
      </c>
      <c r="AG7" s="43" t="s">
        <v>4</v>
      </c>
      <c r="AH7" s="43" t="s">
        <v>4</v>
      </c>
      <c r="AI7" s="43" t="s">
        <v>4</v>
      </c>
      <c r="AJ7" s="43" t="s">
        <v>4</v>
      </c>
      <c r="AK7" s="43" t="s">
        <v>4</v>
      </c>
      <c r="AL7" s="43" t="s">
        <v>4</v>
      </c>
    </row>
    <row r="8" spans="1:38" ht="12.75" customHeight="1">
      <c r="A8" s="2"/>
      <c r="B8" s="36" t="s">
        <v>5</v>
      </c>
      <c r="C8" s="4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5">
        <v>2002</v>
      </c>
      <c r="I8" s="5">
        <v>2003</v>
      </c>
      <c r="J8" s="5">
        <v>2004</v>
      </c>
      <c r="K8" s="5">
        <v>2005</v>
      </c>
      <c r="L8" s="5">
        <v>2006</v>
      </c>
      <c r="M8" s="5">
        <v>2007</v>
      </c>
      <c r="N8" s="5">
        <v>2008</v>
      </c>
      <c r="O8" s="5">
        <v>2009</v>
      </c>
      <c r="P8" s="44">
        <v>2010</v>
      </c>
      <c r="Q8" s="44">
        <v>2010</v>
      </c>
      <c r="R8" s="44">
        <v>2011</v>
      </c>
      <c r="S8" s="44">
        <v>2012</v>
      </c>
      <c r="T8" s="44">
        <v>2013</v>
      </c>
      <c r="U8" s="44">
        <v>2014</v>
      </c>
      <c r="V8" s="44">
        <v>2015</v>
      </c>
      <c r="W8" s="44">
        <v>2016</v>
      </c>
      <c r="X8" s="44">
        <v>2017</v>
      </c>
      <c r="Y8" s="44">
        <v>2018</v>
      </c>
      <c r="Z8" s="44">
        <v>2019</v>
      </c>
      <c r="AA8" s="44">
        <v>2020</v>
      </c>
      <c r="AB8" s="44">
        <v>2021</v>
      </c>
      <c r="AC8" s="44">
        <v>2022</v>
      </c>
      <c r="AD8" s="44">
        <v>2023</v>
      </c>
      <c r="AE8" s="44">
        <v>2024</v>
      </c>
      <c r="AF8" s="44">
        <v>2025</v>
      </c>
      <c r="AG8" s="44">
        <v>2026</v>
      </c>
      <c r="AH8" s="44">
        <v>2027</v>
      </c>
      <c r="AI8" s="44">
        <v>2028</v>
      </c>
      <c r="AJ8" s="44">
        <v>2029</v>
      </c>
      <c r="AK8" s="44">
        <v>2030</v>
      </c>
      <c r="AL8" s="44">
        <v>2031</v>
      </c>
    </row>
    <row r="9" spans="1:38" ht="36" customHeight="1">
      <c r="A9" s="23" t="s">
        <v>11</v>
      </c>
      <c r="B9" s="7" t="s">
        <v>12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45"/>
      <c r="Q9" s="2"/>
    </row>
    <row r="10" spans="1:38" ht="12.75" customHeight="1">
      <c r="A10" s="2"/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5"/>
      <c r="Q10" s="2"/>
      <c r="U10" s="55"/>
      <c r="V10" s="55"/>
      <c r="W10" s="55"/>
      <c r="X10" s="65" t="s">
        <v>98</v>
      </c>
      <c r="Y10" s="55"/>
      <c r="Z10" s="65" t="s">
        <v>98</v>
      </c>
      <c r="AA10" s="55"/>
      <c r="AB10" s="65" t="s">
        <v>98</v>
      </c>
      <c r="AC10" s="55"/>
      <c r="AD10" s="65" t="s">
        <v>98</v>
      </c>
      <c r="AE10" s="55"/>
      <c r="AF10" s="65" t="s">
        <v>98</v>
      </c>
      <c r="AG10" s="55"/>
      <c r="AH10" s="65" t="s">
        <v>98</v>
      </c>
      <c r="AJ10" s="65" t="s">
        <v>98</v>
      </c>
      <c r="AL10" s="61" t="s">
        <v>98</v>
      </c>
    </row>
    <row r="11" spans="1:38" ht="12.75" customHeight="1">
      <c r="A11" s="1" t="s">
        <v>13</v>
      </c>
      <c r="B11" s="8">
        <v>1.5297906602254429E-2</v>
      </c>
      <c r="C11" s="9">
        <f>'79Pivot'!C9</f>
        <v>2.5102159999999998E-2</v>
      </c>
      <c r="D11" s="9">
        <f>'79Pivot'!D9</f>
        <v>2.7761712000000001E-2</v>
      </c>
      <c r="E11" s="9">
        <f>'79Pivot'!E9</f>
        <v>4.08408408E-2</v>
      </c>
      <c r="F11" s="9">
        <f>'79Pivot'!F9</f>
        <v>0</v>
      </c>
      <c r="G11" s="9">
        <f>'79Pivot'!G9</f>
        <v>0</v>
      </c>
      <c r="H11" s="9">
        <f>'79Pivot'!H9</f>
        <v>0</v>
      </c>
      <c r="I11" s="9">
        <f>'79Pivot'!I9</f>
        <v>6.0860440699999997E-2</v>
      </c>
      <c r="J11" s="9">
        <f>'79Pivot'!J9</f>
        <v>6.7669172900000005E-2</v>
      </c>
      <c r="K11" s="9">
        <f>'79Pivot'!K9</f>
        <v>8.0869040399999995E-2</v>
      </c>
      <c r="L11" s="9">
        <f>'79Pivot'!L9</f>
        <v>0</v>
      </c>
      <c r="M11" s="9">
        <f>'79Pivot'!M9</f>
        <v>0</v>
      </c>
      <c r="N11" s="9">
        <f>'79Pivot'!N9</f>
        <v>0</v>
      </c>
      <c r="O11" s="9">
        <f>'79Pivot'!O9</f>
        <v>0</v>
      </c>
      <c r="P11" s="46">
        <f>'79Pivot'!P9</f>
        <v>9.0193704599999994E-2</v>
      </c>
      <c r="Q11" s="18">
        <v>19</v>
      </c>
      <c r="R11" s="20">
        <f>43+48</f>
        <v>91</v>
      </c>
      <c r="S11" s="20">
        <f>49+59</f>
        <v>108</v>
      </c>
      <c r="T11" s="20">
        <f>96+62</f>
        <v>158</v>
      </c>
      <c r="U11" s="20">
        <f>98+58</f>
        <v>156</v>
      </c>
      <c r="V11" s="20">
        <f>78+34</f>
        <v>112</v>
      </c>
      <c r="W11" s="20">
        <f>84+41</f>
        <v>125</v>
      </c>
      <c r="X11" s="61">
        <f>1968-4</f>
        <v>1964</v>
      </c>
      <c r="Y11" s="20">
        <f>117+18</f>
        <v>135</v>
      </c>
      <c r="Z11" s="61">
        <f>1911-172</f>
        <v>1739</v>
      </c>
      <c r="AA11" s="20">
        <f>114+19</f>
        <v>133</v>
      </c>
      <c r="AB11" s="66">
        <v>1605</v>
      </c>
      <c r="AC11" s="20">
        <f>138+12</f>
        <v>150</v>
      </c>
      <c r="AD11" s="61">
        <v>1662</v>
      </c>
      <c r="AE11" s="20">
        <v>0</v>
      </c>
      <c r="AF11" s="66">
        <v>1689</v>
      </c>
      <c r="AG11" s="20">
        <v>0</v>
      </c>
      <c r="AH11" s="76">
        <v>1691</v>
      </c>
      <c r="AI11" s="58">
        <v>0</v>
      </c>
      <c r="AJ11" s="66">
        <v>1658</v>
      </c>
      <c r="AK11" s="1">
        <v>0</v>
      </c>
      <c r="AL11" s="61">
        <v>1714</v>
      </c>
    </row>
    <row r="12" spans="1:38" ht="12.75" customHeight="1">
      <c r="A12" s="1" t="s">
        <v>14</v>
      </c>
      <c r="B12" s="8">
        <v>0.27170626349892008</v>
      </c>
      <c r="C12" s="9">
        <f>'79Pivot'!C10</f>
        <v>6.4843750000000006E-2</v>
      </c>
      <c r="D12" s="9">
        <f>'79Pivot'!D10</f>
        <v>5.8674393300000002E-2</v>
      </c>
      <c r="E12" s="9">
        <f>'79Pivot'!E10</f>
        <v>7.0510593999999996E-2</v>
      </c>
      <c r="F12" s="9">
        <f>'79Pivot'!F10</f>
        <v>6.2260869599999998E-2</v>
      </c>
      <c r="G12" s="9">
        <f>'79Pivot'!G10</f>
        <v>8.2452431300000004E-2</v>
      </c>
      <c r="H12" s="9">
        <f>'79Pivot'!H10</f>
        <v>7.9089506200000007E-2</v>
      </c>
      <c r="I12" s="9">
        <f>'79Pivot'!I10</f>
        <v>9.1051805299999997E-2</v>
      </c>
      <c r="J12" s="9">
        <f>'79Pivot'!J10</f>
        <v>9.6115865699999997E-2</v>
      </c>
      <c r="K12" s="9">
        <f>'79Pivot'!K10</f>
        <v>0.1190198366</v>
      </c>
      <c r="L12" s="9">
        <f>'79Pivot'!L10</f>
        <v>0.1096438575</v>
      </c>
      <c r="M12" s="9">
        <f>'79Pivot'!M10</f>
        <v>0.1207652451</v>
      </c>
      <c r="N12" s="9">
        <f>'79Pivot'!N10</f>
        <v>0</v>
      </c>
      <c r="O12" s="9">
        <f>'79Pivot'!O10</f>
        <v>0.1374673142</v>
      </c>
      <c r="P12" s="46">
        <f>'79Pivot'!P10</f>
        <v>0.1378053226</v>
      </c>
      <c r="Q12" s="18">
        <f>433+9+171+16</f>
        <v>629</v>
      </c>
      <c r="R12" s="20">
        <f>203+3+73</f>
        <v>279</v>
      </c>
      <c r="S12" s="20">
        <f>203+93</f>
        <v>296</v>
      </c>
      <c r="T12" s="20">
        <f>247+99</f>
        <v>346</v>
      </c>
      <c r="U12" s="20">
        <f>231+154</f>
        <v>385</v>
      </c>
      <c r="V12" s="20">
        <f>286+182</f>
        <v>468</v>
      </c>
      <c r="W12" s="20">
        <f>256+144</f>
        <v>400</v>
      </c>
      <c r="X12" s="61">
        <v>2881</v>
      </c>
      <c r="Y12" s="20">
        <f>279+3+182</f>
        <v>464</v>
      </c>
      <c r="Z12" s="61">
        <v>2903</v>
      </c>
      <c r="AA12" s="20">
        <f>364+3+167</f>
        <v>534</v>
      </c>
      <c r="AB12" s="66">
        <v>3048</v>
      </c>
      <c r="AC12" s="20">
        <f>365+2+154</f>
        <v>521</v>
      </c>
      <c r="AD12" s="61">
        <f>2941-2</f>
        <v>2939</v>
      </c>
      <c r="AE12" s="20">
        <v>512</v>
      </c>
      <c r="AF12" s="66">
        <v>2928</v>
      </c>
      <c r="AG12" s="20">
        <v>514</v>
      </c>
      <c r="AH12" s="76">
        <v>2936</v>
      </c>
      <c r="AI12" s="58">
        <v>147</v>
      </c>
      <c r="AJ12" s="66">
        <v>2550</v>
      </c>
      <c r="AK12" s="1">
        <v>571</v>
      </c>
      <c r="AL12" s="61">
        <v>3101</v>
      </c>
    </row>
    <row r="13" spans="1:38" ht="12.75" customHeight="1">
      <c r="A13" s="1" t="s">
        <v>15</v>
      </c>
      <c r="B13" s="8">
        <v>6.0508083140877598E-2</v>
      </c>
      <c r="C13" s="9">
        <f>'79Pivot'!C11</f>
        <v>0.17503656749999999</v>
      </c>
      <c r="D13" s="9">
        <f>'79Pivot'!D11</f>
        <v>0.1749011858</v>
      </c>
      <c r="E13" s="9">
        <f>'79Pivot'!E11</f>
        <v>0.17221791889999999</v>
      </c>
      <c r="F13" s="9">
        <f>'79Pivot'!F11</f>
        <v>0.15889370929999999</v>
      </c>
      <c r="G13" s="9">
        <f>'79Pivot'!G11</f>
        <v>0.153393907</v>
      </c>
      <c r="H13" s="9">
        <f>'79Pivot'!H11</f>
        <v>0.15790849670000001</v>
      </c>
      <c r="I13" s="9">
        <f>'79Pivot'!I11</f>
        <v>0.14611984280000001</v>
      </c>
      <c r="J13" s="9">
        <f>'79Pivot'!J11</f>
        <v>0.14501584209999999</v>
      </c>
      <c r="K13" s="9">
        <f>'79Pivot'!K11</f>
        <v>0.1463869464</v>
      </c>
      <c r="L13" s="9">
        <f>'79Pivot'!L11</f>
        <v>0.14200133130000001</v>
      </c>
      <c r="M13" s="9">
        <f>'79Pivot'!M11</f>
        <v>0.1390882229</v>
      </c>
      <c r="N13" s="9">
        <f>'79Pivot'!N11</f>
        <v>0.13860578879999999</v>
      </c>
      <c r="O13" s="9">
        <f>'79Pivot'!O11</f>
        <v>0.13637237930000001</v>
      </c>
      <c r="P13" s="46">
        <f>'79Pivot'!P11</f>
        <v>0.15446120299999999</v>
      </c>
      <c r="Q13" s="18">
        <v>262</v>
      </c>
      <c r="R13" s="20">
        <f>514+1+23</f>
        <v>538</v>
      </c>
      <c r="S13" s="20">
        <f>559+1+40</f>
        <v>600</v>
      </c>
      <c r="T13" s="20">
        <f>627+1+75</f>
        <v>703</v>
      </c>
      <c r="U13" s="20">
        <f>644+3+85</f>
        <v>732</v>
      </c>
      <c r="V13" s="20">
        <f>637+2+110</f>
        <v>749</v>
      </c>
      <c r="W13" s="20">
        <f>611+157</f>
        <v>768</v>
      </c>
      <c r="X13" s="61">
        <v>5782</v>
      </c>
      <c r="Y13" s="20">
        <f>573+133</f>
        <v>706</v>
      </c>
      <c r="Z13" s="61">
        <v>5409</v>
      </c>
      <c r="AA13" s="20">
        <f>581+160</f>
        <v>741</v>
      </c>
      <c r="AB13" s="66">
        <v>5251</v>
      </c>
      <c r="AC13" s="20">
        <f>653+114</f>
        <v>767</v>
      </c>
      <c r="AD13" s="61">
        <v>5464</v>
      </c>
      <c r="AE13" s="20">
        <v>838</v>
      </c>
      <c r="AF13" s="66">
        <v>5666</v>
      </c>
      <c r="AG13" s="20">
        <v>831</v>
      </c>
      <c r="AH13" s="76">
        <v>5338</v>
      </c>
      <c r="AI13" s="58">
        <v>689</v>
      </c>
      <c r="AJ13" s="66">
        <v>4534</v>
      </c>
      <c r="AK13" s="1">
        <v>846</v>
      </c>
      <c r="AL13" s="61">
        <v>5406</v>
      </c>
    </row>
    <row r="14" spans="1:38" ht="12.75" customHeight="1">
      <c r="A14" s="1" t="s">
        <v>92</v>
      </c>
      <c r="B14" s="8">
        <v>4.7933157431838173E-2</v>
      </c>
      <c r="C14" s="9">
        <f>'79Pivot'!C12</f>
        <v>5.55044248E-2</v>
      </c>
      <c r="D14" s="9">
        <f>'79Pivot'!D12</f>
        <v>5.6831395299999997E-2</v>
      </c>
      <c r="E14" s="9">
        <f>'79Pivot'!E12</f>
        <v>5.73717719E-2</v>
      </c>
      <c r="F14" s="9">
        <f>'79Pivot'!F12</f>
        <v>5.9796889399999997E-2</v>
      </c>
      <c r="G14" s="9">
        <f>'79Pivot'!G12</f>
        <v>6.1530871199999997E-2</v>
      </c>
      <c r="H14" s="9">
        <f>'79Pivot'!H12</f>
        <v>6.3036649200000003E-2</v>
      </c>
      <c r="I14" s="9">
        <f>'79Pivot'!I12</f>
        <v>5.6466680499999998E-2</v>
      </c>
      <c r="J14" s="9">
        <f>'79Pivot'!J12</f>
        <v>5.2581586299999997E-2</v>
      </c>
      <c r="K14" s="9">
        <f>'79Pivot'!K12</f>
        <v>5.0585255699999998E-2</v>
      </c>
      <c r="L14" s="9">
        <f>'79Pivot'!L12</f>
        <v>4.8672566399999999E-2</v>
      </c>
      <c r="M14" s="9">
        <f>'79Pivot'!M12</f>
        <v>5.3300532999999997E-2</v>
      </c>
      <c r="N14" s="9">
        <f>'79Pivot'!N12</f>
        <v>5.74303512E-2</v>
      </c>
      <c r="O14" s="9">
        <f>'79Pivot'!O12</f>
        <v>6.0610070799999999E-2</v>
      </c>
      <c r="P14" s="46">
        <f>'79Pivot'!P12</f>
        <v>7.1658668100000003E-2</v>
      </c>
      <c r="Q14" s="18">
        <v>654</v>
      </c>
      <c r="R14" s="20">
        <f>1121+49+301</f>
        <v>1471</v>
      </c>
      <c r="S14" s="20">
        <f>1087+61+309</f>
        <v>1457</v>
      </c>
      <c r="T14" s="20">
        <f>1121+58+325</f>
        <v>1504</v>
      </c>
      <c r="U14" s="20">
        <f>1145+64+314</f>
        <v>1523</v>
      </c>
      <c r="V14" s="20">
        <f>1186+65+299</f>
        <v>1550</v>
      </c>
      <c r="W14" s="20">
        <f>1223+52+298</f>
        <v>1573</v>
      </c>
      <c r="X14" s="61">
        <v>15448</v>
      </c>
      <c r="Y14" s="20">
        <f>1165+269</f>
        <v>1434</v>
      </c>
      <c r="Z14" s="61">
        <v>15786</v>
      </c>
      <c r="AA14" s="20">
        <f>1096+270</f>
        <v>1366</v>
      </c>
      <c r="AB14" s="66">
        <f>16275-9</f>
        <v>16266</v>
      </c>
      <c r="AC14" s="20">
        <f>1038+268</f>
        <v>1306</v>
      </c>
      <c r="AD14" s="61">
        <f>16157-9</f>
        <v>16148</v>
      </c>
      <c r="AE14" s="20">
        <v>1237</v>
      </c>
      <c r="AF14" s="66">
        <v>16229</v>
      </c>
      <c r="AG14" s="20">
        <v>1381</v>
      </c>
      <c r="AH14" s="76">
        <v>16253</v>
      </c>
      <c r="AI14" s="58">
        <v>1498</v>
      </c>
      <c r="AJ14" s="66">
        <v>16269</v>
      </c>
      <c r="AK14" s="1">
        <v>1688</v>
      </c>
      <c r="AL14" s="61">
        <v>17010</v>
      </c>
    </row>
    <row r="15" spans="1:38" ht="12.75" customHeight="1">
      <c r="A15" s="1" t="s">
        <v>95</v>
      </c>
      <c r="B15" s="8">
        <v>0.20707305723592367</v>
      </c>
      <c r="C15" s="9">
        <f>'79Pivot'!C13</f>
        <v>4.8934198300000002E-2</v>
      </c>
      <c r="D15" s="9">
        <f>'79Pivot'!D13</f>
        <v>5.3087757300000003E-2</v>
      </c>
      <c r="E15" s="9">
        <f>'79Pivot'!E13</f>
        <v>5.7854200299999999E-2</v>
      </c>
      <c r="F15" s="9">
        <f>'79Pivot'!F13</f>
        <v>5.6935083400000003E-2</v>
      </c>
      <c r="G15" s="9">
        <f>'79Pivot'!G13</f>
        <v>5.2987012999999999E-2</v>
      </c>
      <c r="H15" s="9">
        <f>'79Pivot'!H13</f>
        <v>5.28727529E-2</v>
      </c>
      <c r="I15" s="9">
        <f>'79Pivot'!I13</f>
        <v>5.8489494599999997E-2</v>
      </c>
      <c r="J15" s="9">
        <f>'79Pivot'!J13</f>
        <v>6.3084112100000006E-2</v>
      </c>
      <c r="K15" s="9">
        <f>'79Pivot'!K13</f>
        <v>7.5978076000000005E-2</v>
      </c>
      <c r="L15" s="9">
        <f>'79Pivot'!L13</f>
        <v>8.2837033000000004E-2</v>
      </c>
      <c r="M15" s="9">
        <f>'79Pivot'!M13</f>
        <v>8.6956521699999997E-2</v>
      </c>
      <c r="N15" s="9">
        <f>'79Pivot'!N13</f>
        <v>8.3867210299999995E-2</v>
      </c>
      <c r="O15" s="9">
        <f>'79Pivot'!O13</f>
        <v>8.7515854300000001E-2</v>
      </c>
      <c r="P15" s="46">
        <f>'79Pivot'!P13</f>
        <v>0.12004595060000001</v>
      </c>
      <c r="Q15" s="18">
        <f>1033+77+3+182+40</f>
        <v>1335</v>
      </c>
      <c r="R15" s="20">
        <f>1061+136</f>
        <v>1197</v>
      </c>
      <c r="S15" s="20">
        <f>1046+136</f>
        <v>1182</v>
      </c>
      <c r="T15" s="20">
        <f>944+111</f>
        <v>1055</v>
      </c>
      <c r="U15" s="20">
        <f>845+99</f>
        <v>944</v>
      </c>
      <c r="V15" s="20">
        <f>821+122</f>
        <v>943</v>
      </c>
      <c r="W15" s="20">
        <v>948</v>
      </c>
      <c r="X15" s="61">
        <v>3847</v>
      </c>
      <c r="Y15" s="20">
        <f>834+3+86</f>
        <v>923</v>
      </c>
      <c r="Z15" s="61">
        <v>4087</v>
      </c>
      <c r="AA15" s="20">
        <f>828+86</f>
        <v>914</v>
      </c>
      <c r="AB15" s="66">
        <f>4119-18</f>
        <v>4101</v>
      </c>
      <c r="AC15" s="20">
        <f>878+1+79</f>
        <v>958</v>
      </c>
      <c r="AD15" s="61">
        <v>4310</v>
      </c>
      <c r="AE15" s="20">
        <v>972</v>
      </c>
      <c r="AF15" s="66">
        <v>4514</v>
      </c>
      <c r="AG15" s="20">
        <v>1015</v>
      </c>
      <c r="AH15" s="76">
        <v>4746</v>
      </c>
      <c r="AI15" s="58">
        <v>1055</v>
      </c>
      <c r="AJ15" s="66">
        <v>4906</v>
      </c>
      <c r="AK15" s="1">
        <v>1110</v>
      </c>
      <c r="AL15" s="61">
        <v>5205</v>
      </c>
    </row>
    <row r="16" spans="1:38" ht="12.75" customHeight="1">
      <c r="A16" s="1" t="s">
        <v>16</v>
      </c>
      <c r="B16" s="8">
        <v>7.3021836111763327E-2</v>
      </c>
      <c r="C16" s="9">
        <f>'79Pivot'!C14</f>
        <v>6.8891907599999996E-2</v>
      </c>
      <c r="D16" s="9">
        <f>'79Pivot'!D14</f>
        <v>6.9005847999999995E-2</v>
      </c>
      <c r="E16" s="9">
        <f>'79Pivot'!E14</f>
        <v>6.9221744200000004E-2</v>
      </c>
      <c r="F16" s="9">
        <f>'79Pivot'!F14</f>
        <v>6.9767441900000005E-2</v>
      </c>
      <c r="G16" s="9">
        <f>'79Pivot'!G14</f>
        <v>6.9845006900000006E-2</v>
      </c>
      <c r="H16" s="9">
        <f>'79Pivot'!H14</f>
        <v>6.4497271999999994E-2</v>
      </c>
      <c r="I16" s="9">
        <f>'79Pivot'!I14</f>
        <v>6.24609619E-2</v>
      </c>
      <c r="J16" s="9">
        <f>'79Pivot'!J14</f>
        <v>6.6069195499999997E-2</v>
      </c>
      <c r="K16" s="9">
        <f>'79Pivot'!K14</f>
        <v>6.6053169699999997E-2</v>
      </c>
      <c r="L16" s="9">
        <f>'79Pivot'!L14</f>
        <v>6.5040650399999997E-2</v>
      </c>
      <c r="M16" s="9">
        <f>'79Pivot'!M14</f>
        <v>6.2759767199999997E-2</v>
      </c>
      <c r="N16" s="9">
        <f>'79Pivot'!N14</f>
        <v>6.2095469299999997E-2</v>
      </c>
      <c r="O16" s="9">
        <f>'79Pivot'!O14</f>
        <v>6.1873554400000003E-2</v>
      </c>
      <c r="P16" s="46">
        <f>'79Pivot'!P14</f>
        <v>5.3410981699999999E-2</v>
      </c>
      <c r="Q16" s="18">
        <v>311</v>
      </c>
      <c r="R16" s="20">
        <f>443+1+9</f>
        <v>453</v>
      </c>
      <c r="S16" s="20">
        <f>461+1+9</f>
        <v>471</v>
      </c>
      <c r="T16" s="20">
        <f>471+13</f>
        <v>484</v>
      </c>
      <c r="U16" s="20">
        <f>472+15</f>
        <v>487</v>
      </c>
      <c r="V16" s="20">
        <f>496+14</f>
        <v>510</v>
      </c>
      <c r="W16" s="20">
        <f>463+17</f>
        <v>480</v>
      </c>
      <c r="X16" s="61">
        <f>5197-3</f>
        <v>5194</v>
      </c>
      <c r="Y16" s="20">
        <f>421+18</f>
        <v>439</v>
      </c>
      <c r="Z16" s="61">
        <v>4928</v>
      </c>
      <c r="AA16" s="20">
        <v>452</v>
      </c>
      <c r="AB16" s="66">
        <v>5065</v>
      </c>
      <c r="AC16" s="20">
        <f>452+13</f>
        <v>465</v>
      </c>
      <c r="AD16" s="61">
        <v>5200</v>
      </c>
      <c r="AE16" s="20">
        <v>444</v>
      </c>
      <c r="AF16" s="66">
        <v>5272</v>
      </c>
      <c r="AG16" s="20">
        <v>412</v>
      </c>
      <c r="AH16" s="76">
        <v>5284</v>
      </c>
      <c r="AI16" s="58">
        <v>410</v>
      </c>
      <c r="AJ16" s="66">
        <v>5439</v>
      </c>
      <c r="AK16" s="1">
        <v>453</v>
      </c>
      <c r="AL16" s="61">
        <v>5625</v>
      </c>
    </row>
    <row r="17" spans="1:196" ht="12.75" customHeight="1">
      <c r="A17" s="1" t="s">
        <v>17</v>
      </c>
      <c r="B17" s="8">
        <v>0.44692603266090297</v>
      </c>
      <c r="C17" s="9">
        <f>'79Pivot'!C15</f>
        <v>0.116970278</v>
      </c>
      <c r="D17" s="9">
        <f>'79Pivot'!D15</f>
        <v>0.1524105754</v>
      </c>
      <c r="E17" s="9">
        <f>'79Pivot'!E15</f>
        <v>0.1855160616</v>
      </c>
      <c r="F17" s="9">
        <f>'79Pivot'!F15</f>
        <v>0.2022409993</v>
      </c>
      <c r="G17" s="9">
        <f>'79Pivot'!G15</f>
        <v>0.18836615609999999</v>
      </c>
      <c r="H17" s="9">
        <f>'79Pivot'!H15</f>
        <v>0.1911306579</v>
      </c>
      <c r="I17" s="9">
        <f>'79Pivot'!I15</f>
        <v>0.18312796210000001</v>
      </c>
      <c r="J17" s="9">
        <f>'79Pivot'!J15</f>
        <v>0.16997223319999999</v>
      </c>
      <c r="K17" s="9">
        <f>'79Pivot'!K15</f>
        <v>0.16456444619999999</v>
      </c>
      <c r="L17" s="9">
        <f>'79Pivot'!L15</f>
        <v>0.171887391</v>
      </c>
      <c r="M17" s="9">
        <f>'79Pivot'!M15</f>
        <v>0.16474739969999999</v>
      </c>
      <c r="N17" s="9">
        <f>'79Pivot'!N15</f>
        <v>0.1648292066</v>
      </c>
      <c r="O17" s="9">
        <f>'79Pivot'!O15</f>
        <v>0.1567642474</v>
      </c>
      <c r="P17" s="46">
        <f>'79Pivot'!P15</f>
        <v>0.23849643549999999</v>
      </c>
      <c r="Q17" s="18">
        <f>1750+42+69</f>
        <v>1861</v>
      </c>
      <c r="R17" s="20">
        <f>1688+1+134</f>
        <v>1823</v>
      </c>
      <c r="S17" s="20">
        <f>1664+1+95</f>
        <v>1760</v>
      </c>
      <c r="T17" s="20">
        <f>1713+1+136</f>
        <v>1850</v>
      </c>
      <c r="U17" s="20">
        <f>1778+1+211</f>
        <v>1990</v>
      </c>
      <c r="V17" s="20">
        <f>1674+295</f>
        <v>1969</v>
      </c>
      <c r="W17" s="20">
        <f>1718+228</f>
        <v>1946</v>
      </c>
      <c r="X17" s="61">
        <f>5601-93</f>
        <v>5508</v>
      </c>
      <c r="Y17" s="20">
        <f>1572+1+130</f>
        <v>1703</v>
      </c>
      <c r="Z17" s="61">
        <f>5527-691</f>
        <v>4836</v>
      </c>
      <c r="AA17" s="20">
        <f>1397+1+28</f>
        <v>1426</v>
      </c>
      <c r="AB17" s="66">
        <f>5264-1278</f>
        <v>3986</v>
      </c>
      <c r="AC17" s="20">
        <f>1347+1+13</f>
        <v>1361</v>
      </c>
      <c r="AD17" s="61">
        <f>5381-1631</f>
        <v>3750</v>
      </c>
      <c r="AE17" s="20">
        <v>1500</v>
      </c>
      <c r="AF17" s="66">
        <v>5273</v>
      </c>
      <c r="AG17" s="20">
        <v>1571</v>
      </c>
      <c r="AH17" s="76">
        <v>5665</v>
      </c>
      <c r="AI17" s="58">
        <v>1595</v>
      </c>
      <c r="AJ17" s="66">
        <v>5765</v>
      </c>
      <c r="AK17" s="1">
        <v>1587</v>
      </c>
      <c r="AL17" s="61">
        <v>5928</v>
      </c>
    </row>
    <row r="18" spans="1:196" ht="12.75" customHeight="1">
      <c r="A18" s="1" t="s">
        <v>18</v>
      </c>
      <c r="B18" s="8">
        <v>7.7024122283257695E-2</v>
      </c>
      <c r="C18" s="9">
        <f>'79Pivot'!C16</f>
        <v>0.107387336</v>
      </c>
      <c r="D18" s="9">
        <f>'79Pivot'!D16</f>
        <v>0.1051812005</v>
      </c>
      <c r="E18" s="9">
        <f>'79Pivot'!E16</f>
        <v>0.10223463689999999</v>
      </c>
      <c r="F18" s="9">
        <f>'79Pivot'!F16</f>
        <v>0.10485410420000001</v>
      </c>
      <c r="G18" s="9">
        <f>'79Pivot'!G16</f>
        <v>9.9671700599999996E-2</v>
      </c>
      <c r="H18" s="9">
        <f>'79Pivot'!H16</f>
        <v>0.1007900102</v>
      </c>
      <c r="I18" s="9">
        <f>'79Pivot'!I16</f>
        <v>0.1035480624</v>
      </c>
      <c r="J18" s="9">
        <f>'79Pivot'!J16</f>
        <v>9.9341938699999993E-2</v>
      </c>
      <c r="K18" s="9">
        <f>'79Pivot'!K16</f>
        <v>9.5896946600000005E-2</v>
      </c>
      <c r="L18" s="9">
        <f>'79Pivot'!L16</f>
        <v>9.9757281599999997E-2</v>
      </c>
      <c r="M18" s="9">
        <f>'79Pivot'!M16</f>
        <v>0.1025700663</v>
      </c>
      <c r="N18" s="9">
        <f>'79Pivot'!N16</f>
        <v>0.1044094128</v>
      </c>
      <c r="O18" s="9">
        <f>'79Pivot'!O16</f>
        <v>0.10806595369999999</v>
      </c>
      <c r="P18" s="46">
        <f>'79Pivot'!P16</f>
        <v>0.1132404181</v>
      </c>
      <c r="Q18" s="18">
        <f>567+29+44+5</f>
        <v>645</v>
      </c>
      <c r="R18" s="20">
        <f>859+3+181</f>
        <v>1043</v>
      </c>
      <c r="S18" s="20">
        <f>838+2+161</f>
        <v>1001</v>
      </c>
      <c r="T18" s="20">
        <f>827+1+171</f>
        <v>999</v>
      </c>
      <c r="U18" s="20">
        <f>875+1+221</f>
        <v>1097</v>
      </c>
      <c r="V18" s="20">
        <f>852+1+196</f>
        <v>1049</v>
      </c>
      <c r="W18" s="20">
        <v>1056</v>
      </c>
      <c r="X18" s="61">
        <v>8157</v>
      </c>
      <c r="Y18" s="20">
        <f>919+155</f>
        <v>1074</v>
      </c>
      <c r="Z18" s="61">
        <f>8481-218</f>
        <v>8263</v>
      </c>
      <c r="AA18" s="20">
        <f>875+155</f>
        <v>1030</v>
      </c>
      <c r="AB18" s="66">
        <f>8457-229</f>
        <v>8228</v>
      </c>
      <c r="AC18" s="20">
        <f>901+148</f>
        <v>1049</v>
      </c>
      <c r="AD18" s="61">
        <f>8951-204</f>
        <v>8747</v>
      </c>
      <c r="AE18" s="20">
        <v>1105</v>
      </c>
      <c r="AF18" s="66">
        <v>8747</v>
      </c>
      <c r="AG18" s="20">
        <v>1149</v>
      </c>
      <c r="AH18" s="76">
        <v>9139</v>
      </c>
      <c r="AI18" s="58">
        <v>1292</v>
      </c>
      <c r="AJ18" s="66">
        <v>9240</v>
      </c>
      <c r="AK18" s="1">
        <v>1334</v>
      </c>
      <c r="AL18" s="61">
        <v>9526</v>
      </c>
    </row>
    <row r="19" spans="1:196" ht="12.75" customHeight="1">
      <c r="A19" s="1" t="s">
        <v>19</v>
      </c>
      <c r="B19" s="8">
        <v>0.32424293123640624</v>
      </c>
      <c r="C19" s="9">
        <f>'79Pivot'!C17</f>
        <v>0.22058823529999999</v>
      </c>
      <c r="D19" s="9">
        <f>'79Pivot'!D17</f>
        <v>0.21511914539999999</v>
      </c>
      <c r="E19" s="9">
        <f>'79Pivot'!E17</f>
        <v>0.2086475616</v>
      </c>
      <c r="F19" s="9">
        <f>'79Pivot'!F17</f>
        <v>0.20905505059999999</v>
      </c>
      <c r="G19" s="9">
        <f>'79Pivot'!G17</f>
        <v>0.19982409849999999</v>
      </c>
      <c r="H19" s="9">
        <f>'79Pivot'!H17</f>
        <v>0.20393686820000001</v>
      </c>
      <c r="I19" s="9">
        <f>'79Pivot'!I17</f>
        <v>0.20423434930000001</v>
      </c>
      <c r="J19" s="9">
        <f>'79Pivot'!J17</f>
        <v>0.20014245010000001</v>
      </c>
      <c r="K19" s="9">
        <f>'79Pivot'!K17</f>
        <v>0.19888609409999999</v>
      </c>
      <c r="L19" s="9">
        <f>'79Pivot'!L17</f>
        <v>0.18606334839999999</v>
      </c>
      <c r="M19" s="9">
        <f>'79Pivot'!M17</f>
        <v>0.1685092725</v>
      </c>
      <c r="N19" s="9">
        <f>'79Pivot'!N17</f>
        <v>0.1598639456</v>
      </c>
      <c r="O19" s="9">
        <f>'79Pivot'!O17</f>
        <v>0.15139879319999999</v>
      </c>
      <c r="P19" s="46">
        <f>'79Pivot'!P17</f>
        <v>0.16</v>
      </c>
      <c r="Q19" s="18">
        <v>1938</v>
      </c>
      <c r="R19" s="20">
        <f>1564+129</f>
        <v>1693</v>
      </c>
      <c r="S19" s="20">
        <f>1543+162</f>
        <v>1705</v>
      </c>
      <c r="T19" s="20">
        <f>1471+180</f>
        <v>1651</v>
      </c>
      <c r="U19" s="20">
        <f>1421+175</f>
        <v>1596</v>
      </c>
      <c r="V19" s="20">
        <f>1339+209</f>
        <v>1548</v>
      </c>
      <c r="W19" s="20">
        <f>1353+239</f>
        <v>1592</v>
      </c>
      <c r="X19" s="61">
        <v>5637</v>
      </c>
      <c r="Y19" s="20">
        <f>1312+247</f>
        <v>1559</v>
      </c>
      <c r="Z19" s="61">
        <f>5479-26</f>
        <v>5453</v>
      </c>
      <c r="AA19" s="20">
        <f>1337+228</f>
        <v>1565</v>
      </c>
      <c r="AB19" s="66">
        <v>5587</v>
      </c>
      <c r="AC19" s="20">
        <f>1299+206</f>
        <v>1505</v>
      </c>
      <c r="AD19" s="61">
        <f>5560-26</f>
        <v>5534</v>
      </c>
      <c r="AE19" s="20">
        <v>1414</v>
      </c>
      <c r="AF19" s="66">
        <v>5458</v>
      </c>
      <c r="AG19" s="20">
        <v>1324</v>
      </c>
      <c r="AH19" s="76">
        <v>5484</v>
      </c>
      <c r="AI19" s="58">
        <v>1348</v>
      </c>
      <c r="AJ19" s="66">
        <v>5506</v>
      </c>
      <c r="AK19" s="1">
        <v>1260</v>
      </c>
      <c r="AL19" s="61">
        <v>5396</v>
      </c>
    </row>
    <row r="20" spans="1:196" s="85" customFormat="1" ht="12.75" customHeight="1">
      <c r="A20" s="82" t="s">
        <v>93</v>
      </c>
      <c r="B20" s="83">
        <v>5.3525715615545727E-2</v>
      </c>
      <c r="C20" s="9">
        <f>'79Pivot'!C18</f>
        <v>4.0495583299999999E-2</v>
      </c>
      <c r="D20" s="9">
        <f>'79Pivot'!D18</f>
        <v>4.5280833800000003E-2</v>
      </c>
      <c r="E20" s="9">
        <f>'79Pivot'!E18</f>
        <v>4.6146799500000002E-2</v>
      </c>
      <c r="F20" s="9">
        <f>'79Pivot'!F18</f>
        <v>4.7312815799999998E-2</v>
      </c>
      <c r="G20" s="9">
        <f>'79Pivot'!G18</f>
        <v>4.6581344400000002E-2</v>
      </c>
      <c r="H20" s="9">
        <f>'79Pivot'!H18</f>
        <v>4.5132325100000002E-2</v>
      </c>
      <c r="I20" s="9">
        <f>'79Pivot'!I18</f>
        <v>4.7482358600000003E-2</v>
      </c>
      <c r="J20" s="9">
        <f>'79Pivot'!J18</f>
        <v>4.4096385500000002E-2</v>
      </c>
      <c r="K20" s="9">
        <f>'79Pivot'!K18</f>
        <v>5.0519527100000003E-2</v>
      </c>
      <c r="L20" s="9">
        <f>'79Pivot'!L18</f>
        <v>5.3053525099999999E-2</v>
      </c>
      <c r="M20" s="9">
        <f>'79Pivot'!M18</f>
        <v>5.3075279000000003E-2</v>
      </c>
      <c r="N20" s="9">
        <f>'79Pivot'!N18</f>
        <v>4.9499116099999997E-2</v>
      </c>
      <c r="O20" s="9">
        <f>'79Pivot'!O18</f>
        <v>5.4294406699999999E-2</v>
      </c>
      <c r="P20" s="46">
        <f>'79Pivot'!P18</f>
        <v>6.0640089799999998E-2</v>
      </c>
      <c r="Q20" s="84">
        <v>460</v>
      </c>
      <c r="R20" s="81">
        <f>617+6+279</f>
        <v>902</v>
      </c>
      <c r="S20" s="81">
        <f>637+4+280</f>
        <v>921</v>
      </c>
      <c r="T20" s="81">
        <f>632+326</f>
        <v>958</v>
      </c>
      <c r="U20" s="81">
        <f>654+319</f>
        <v>973</v>
      </c>
      <c r="V20" s="81">
        <f>641+341</f>
        <v>982</v>
      </c>
      <c r="W20" s="81">
        <f>588+376</f>
        <v>964</v>
      </c>
      <c r="X20" s="61">
        <f>8732-5</f>
        <v>8727</v>
      </c>
      <c r="Y20" s="20">
        <f>551+306+9</f>
        <v>866</v>
      </c>
      <c r="Z20" s="61">
        <v>8707</v>
      </c>
      <c r="AA20" s="20">
        <f>486+6+269</f>
        <v>761</v>
      </c>
      <c r="AB20" s="66">
        <v>8303</v>
      </c>
      <c r="AC20" s="20">
        <f>536+5+240</f>
        <v>781</v>
      </c>
      <c r="AD20" s="61">
        <v>8817</v>
      </c>
      <c r="AE20" s="20">
        <v>1323</v>
      </c>
      <c r="AF20" s="66">
        <v>8885</v>
      </c>
      <c r="AG20" s="20">
        <v>1156</v>
      </c>
      <c r="AH20" s="76">
        <v>7833</v>
      </c>
      <c r="AI20" s="58">
        <v>765</v>
      </c>
      <c r="AJ20" s="66">
        <v>7880</v>
      </c>
      <c r="AK20" s="1">
        <v>801</v>
      </c>
      <c r="AL20" s="61">
        <v>8436</v>
      </c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</row>
    <row r="21" spans="1:196" s="85" customFormat="1" ht="12" customHeight="1">
      <c r="A21" s="82" t="s">
        <v>20</v>
      </c>
      <c r="B21" s="83">
        <v>0.11337209302325581</v>
      </c>
      <c r="C21" s="9">
        <f>'79Pivot'!C19</f>
        <v>0.1080535364</v>
      </c>
      <c r="D21" s="9">
        <f>'79Pivot'!D19</f>
        <v>0.11228645769999999</v>
      </c>
      <c r="E21" s="9">
        <f>'79Pivot'!E19</f>
        <v>0.1123728147</v>
      </c>
      <c r="F21" s="9">
        <f>'79Pivot'!F19</f>
        <v>0.1110248447</v>
      </c>
      <c r="G21" s="9">
        <f>'79Pivot'!G19</f>
        <v>0.11000054319999999</v>
      </c>
      <c r="H21" s="9">
        <f>'79Pivot'!H19</f>
        <v>0.1096426574</v>
      </c>
      <c r="I21" s="9">
        <f>'79Pivot'!I19</f>
        <v>0.1098152595</v>
      </c>
      <c r="J21" s="9">
        <f>'79Pivot'!J19</f>
        <v>0.11335314420000001</v>
      </c>
      <c r="K21" s="9">
        <f>'79Pivot'!K19</f>
        <v>0.11694040360000001</v>
      </c>
      <c r="L21" s="9">
        <f>'79Pivot'!L19</f>
        <v>0.1214142451</v>
      </c>
      <c r="M21" s="9">
        <f>'79Pivot'!M19</f>
        <v>0.1245944192</v>
      </c>
      <c r="N21" s="9">
        <f>'79Pivot'!N19</f>
        <v>0.13359494220000001</v>
      </c>
      <c r="O21" s="9">
        <f>'79Pivot'!O19</f>
        <v>0.147177589</v>
      </c>
      <c r="P21" s="46">
        <f>'79Pivot'!P19</f>
        <v>0.17186115809999999</v>
      </c>
      <c r="Q21" s="84">
        <v>2145</v>
      </c>
      <c r="R21" s="81">
        <f>2524+340</f>
        <v>2864</v>
      </c>
      <c r="S21" s="81">
        <f>2648+280</f>
        <v>2928</v>
      </c>
      <c r="T21" s="81">
        <f>2712+271</f>
        <v>2983</v>
      </c>
      <c r="U21" s="81">
        <f>2752+252</f>
        <v>3004</v>
      </c>
      <c r="V21" s="81">
        <f>2790+254</f>
        <v>3044</v>
      </c>
      <c r="W21" s="81">
        <f>3024+258</f>
        <v>3282</v>
      </c>
      <c r="X21" s="61">
        <v>19695</v>
      </c>
      <c r="Y21" s="81">
        <f>3156+3+231</f>
        <v>3390</v>
      </c>
      <c r="Z21" s="61">
        <f>20441-2</f>
        <v>20439</v>
      </c>
      <c r="AA21" s="81">
        <f>3337+1+230</f>
        <v>3568</v>
      </c>
      <c r="AB21" s="66">
        <f>20883-6</f>
        <v>20877</v>
      </c>
      <c r="AC21" s="81">
        <f>3564+2+212</f>
        <v>3778</v>
      </c>
      <c r="AD21" s="61">
        <f>21335-7</f>
        <v>21328</v>
      </c>
      <c r="AE21" s="81">
        <v>3886</v>
      </c>
      <c r="AF21" s="66">
        <v>21474</v>
      </c>
      <c r="AG21" s="81">
        <v>3995</v>
      </c>
      <c r="AH21" s="76">
        <v>21576</v>
      </c>
      <c r="AI21" s="80">
        <v>4642</v>
      </c>
      <c r="AJ21" s="66">
        <v>22972</v>
      </c>
      <c r="AK21" s="82">
        <v>5177</v>
      </c>
      <c r="AL21" s="86">
        <v>23793</v>
      </c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</row>
    <row r="22" spans="1:196" ht="12.75" customHeight="1">
      <c r="A22" s="1" t="s">
        <v>21</v>
      </c>
      <c r="B22" s="8">
        <v>0.12406913025151046</v>
      </c>
      <c r="C22" s="9">
        <f>'79Pivot'!C20</f>
        <v>0.15417181160000001</v>
      </c>
      <c r="D22" s="9">
        <f>'79Pivot'!D20</f>
        <v>0.16297857390000001</v>
      </c>
      <c r="E22" s="9">
        <f>'79Pivot'!E20</f>
        <v>0.16591539529999999</v>
      </c>
      <c r="F22" s="9">
        <f>'79Pivot'!F20</f>
        <v>0.1737391304</v>
      </c>
      <c r="G22" s="9">
        <f>'79Pivot'!G20</f>
        <v>0.1710055321</v>
      </c>
      <c r="H22" s="9">
        <f>'79Pivot'!H20</f>
        <v>0.1888905706</v>
      </c>
      <c r="I22" s="9">
        <f>'79Pivot'!I20</f>
        <v>0.2046484432</v>
      </c>
      <c r="J22" s="9">
        <f>'79Pivot'!J20</f>
        <v>0.2120614344</v>
      </c>
      <c r="K22" s="9">
        <f>'79Pivot'!K20</f>
        <v>0.2134279476</v>
      </c>
      <c r="L22" s="9">
        <f>'79Pivot'!L20</f>
        <v>0.22603485840000001</v>
      </c>
      <c r="M22" s="9">
        <f>'79Pivot'!M20</f>
        <v>0.2242047026</v>
      </c>
      <c r="N22" s="9">
        <f>'79Pivot'!N20</f>
        <v>0.22342648209999999</v>
      </c>
      <c r="O22" s="9">
        <f>'79Pivot'!O20</f>
        <v>0.2263256394</v>
      </c>
      <c r="P22" s="46">
        <f>'79Pivot'!P20</f>
        <v>0.2379672612</v>
      </c>
      <c r="Q22" s="18">
        <f>318+496+55+14</f>
        <v>883</v>
      </c>
      <c r="R22" s="20">
        <f>1014+228</f>
        <v>1242</v>
      </c>
      <c r="S22" s="20">
        <f>1094+191</f>
        <v>1285</v>
      </c>
      <c r="T22" s="20">
        <f>1128+176</f>
        <v>1304</v>
      </c>
      <c r="U22" s="20">
        <f>1159+168</f>
        <v>1327</v>
      </c>
      <c r="V22" s="20">
        <f>1243+195</f>
        <v>1438</v>
      </c>
      <c r="W22" s="20">
        <f>1453+175</f>
        <v>1628</v>
      </c>
      <c r="X22" s="61">
        <v>8870</v>
      </c>
      <c r="Y22" s="20">
        <f>1553+177</f>
        <v>1730</v>
      </c>
      <c r="Z22" s="61">
        <v>9167</v>
      </c>
      <c r="AA22" s="20">
        <f>1680+170</f>
        <v>1850</v>
      </c>
      <c r="AB22" s="66">
        <f>9393-38</f>
        <v>9355</v>
      </c>
      <c r="AC22" s="20">
        <f>1740+173</f>
        <v>1913</v>
      </c>
      <c r="AD22" s="61">
        <f>9487-14</f>
        <v>9473</v>
      </c>
      <c r="AE22" s="20">
        <v>2061</v>
      </c>
      <c r="AF22" s="66">
        <v>9331</v>
      </c>
      <c r="AG22" s="20">
        <v>2043</v>
      </c>
      <c r="AH22" s="76">
        <v>9094</v>
      </c>
      <c r="AI22" s="58">
        <v>2156</v>
      </c>
      <c r="AJ22" s="66">
        <v>9261</v>
      </c>
      <c r="AK22" s="1">
        <v>2287</v>
      </c>
      <c r="AL22" s="61">
        <v>9376</v>
      </c>
    </row>
    <row r="23" spans="1:196" ht="12.75" customHeight="1">
      <c r="A23" s="1" t="s">
        <v>22</v>
      </c>
      <c r="B23" s="8">
        <v>4.1040746195385371E-2</v>
      </c>
      <c r="C23" s="9">
        <f>'79Pivot'!C21</f>
        <v>3.6802575099999998E-2</v>
      </c>
      <c r="D23" s="9">
        <f>'79Pivot'!D21</f>
        <v>3.7010159700000003E-2</v>
      </c>
      <c r="E23" s="9">
        <f>'79Pivot'!E21</f>
        <v>3.2813951100000002E-2</v>
      </c>
      <c r="F23" s="9">
        <f>'79Pivot'!F21</f>
        <v>3.4560790000000001E-2</v>
      </c>
      <c r="G23" s="9">
        <f>'79Pivot'!G21</f>
        <v>3.4375324499999999E-2</v>
      </c>
      <c r="H23" s="9">
        <f>'79Pivot'!H21</f>
        <v>4.0214759400000001E-2</v>
      </c>
      <c r="I23" s="9">
        <f>'79Pivot'!I21</f>
        <v>5.4762160400000003E-2</v>
      </c>
      <c r="J23" s="9">
        <f>'79Pivot'!J21</f>
        <v>5.9345231599999999E-2</v>
      </c>
      <c r="K23" s="9">
        <f>'79Pivot'!K21</f>
        <v>6.2712947199999994E-2</v>
      </c>
      <c r="L23" s="9">
        <f>'79Pivot'!L21</f>
        <v>6.9154174400000004E-2</v>
      </c>
      <c r="M23" s="9">
        <f>'79Pivot'!M21</f>
        <v>7.1126531500000006E-2</v>
      </c>
      <c r="N23" s="9">
        <f>'79Pivot'!N21</f>
        <v>6.3965650099999993E-2</v>
      </c>
      <c r="O23" s="9">
        <f>'79Pivot'!O21</f>
        <v>6.6108607E-2</v>
      </c>
      <c r="P23" s="46">
        <f>'79Pivot'!P21</f>
        <v>4.1075089199999998E-2</v>
      </c>
      <c r="Q23" s="18">
        <v>418</v>
      </c>
      <c r="R23" s="20">
        <f>450+335</f>
        <v>785</v>
      </c>
      <c r="S23" s="20">
        <f>479+354</f>
        <v>833</v>
      </c>
      <c r="T23" s="20">
        <f>438+388</f>
        <v>826</v>
      </c>
      <c r="U23" s="20">
        <f>458+470</f>
        <v>928</v>
      </c>
      <c r="V23" s="20">
        <f>458+450</f>
        <v>908</v>
      </c>
      <c r="W23" s="20">
        <f>502+479</f>
        <v>981</v>
      </c>
      <c r="X23" s="61">
        <v>12714</v>
      </c>
      <c r="Y23" s="20">
        <f>634+1+444</f>
        <v>1079</v>
      </c>
      <c r="Z23" s="61">
        <v>12623</v>
      </c>
      <c r="AA23" s="20">
        <f>538+1+432</f>
        <v>971</v>
      </c>
      <c r="AB23" s="66">
        <v>12519</v>
      </c>
      <c r="AC23" s="20">
        <f>694+1+434</f>
        <v>1129</v>
      </c>
      <c r="AD23" s="61">
        <v>12606</v>
      </c>
      <c r="AE23" s="20">
        <v>1129</v>
      </c>
      <c r="AF23" s="66">
        <v>12431</v>
      </c>
      <c r="AG23" s="20">
        <v>1149</v>
      </c>
      <c r="AH23" s="76">
        <v>12406</v>
      </c>
      <c r="AI23" s="58">
        <v>972</v>
      </c>
      <c r="AJ23" s="66">
        <v>12181</v>
      </c>
      <c r="AK23" s="1">
        <v>981</v>
      </c>
      <c r="AL23" s="61">
        <v>12932</v>
      </c>
    </row>
    <row r="24" spans="1:196" ht="12.75" customHeight="1">
      <c r="A24" s="1" t="s">
        <v>23</v>
      </c>
      <c r="B24" s="8">
        <v>0.12096099112673699</v>
      </c>
      <c r="C24" s="9">
        <f>'79Pivot'!C8</f>
        <v>9.1710242799999994E-2</v>
      </c>
      <c r="D24" s="9">
        <f>'79Pivot'!D8</f>
        <v>9.5197606300000001E-2</v>
      </c>
      <c r="E24" s="9">
        <f>'79Pivot'!E8</f>
        <v>9.6798698899999994E-2</v>
      </c>
      <c r="F24" s="9">
        <f>'79Pivot'!F8</f>
        <v>9.7025488199999996E-2</v>
      </c>
      <c r="G24" s="9">
        <f>'79Pivot'!G8</f>
        <v>9.5406174799999993E-2</v>
      </c>
      <c r="H24" s="9">
        <f>'79Pivot'!H8</f>
        <v>9.8200620500000002E-2</v>
      </c>
      <c r="I24" s="9">
        <f>'79Pivot'!I8</f>
        <v>0.10160621390000001</v>
      </c>
      <c r="J24" s="9">
        <f>'79Pivot'!J8</f>
        <v>0.102245183</v>
      </c>
      <c r="K24" s="9">
        <f>'79Pivot'!K8</f>
        <v>0.104785537</v>
      </c>
      <c r="L24" s="9">
        <f>'79Pivot'!L8</f>
        <v>0.1055637398</v>
      </c>
      <c r="M24" s="9">
        <f>'79Pivot'!M8</f>
        <v>0.1063942611</v>
      </c>
      <c r="N24" s="9">
        <f>'79Pivot'!N8</f>
        <v>0.1054308714</v>
      </c>
      <c r="O24" s="9">
        <f>'79Pivot'!O8</f>
        <v>0.1127801011</v>
      </c>
      <c r="P24" s="46">
        <f>'79Pivot'!P8</f>
        <v>0.125652402</v>
      </c>
      <c r="Q24" s="18">
        <f t="shared" ref="Q24:V24" si="0">SUM(Q11:Q23)</f>
        <v>11560</v>
      </c>
      <c r="R24" s="18">
        <f t="shared" si="0"/>
        <v>14381</v>
      </c>
      <c r="S24" s="18">
        <f t="shared" si="0"/>
        <v>14547</v>
      </c>
      <c r="T24" s="18">
        <f t="shared" si="0"/>
        <v>14821</v>
      </c>
      <c r="U24" s="18">
        <f t="shared" si="0"/>
        <v>15142</v>
      </c>
      <c r="V24" s="18">
        <f t="shared" si="0"/>
        <v>15270</v>
      </c>
      <c r="W24" s="20">
        <f t="shared" ref="W24:AL24" si="1">SUM(W11:W23)</f>
        <v>15743</v>
      </c>
      <c r="X24" s="61">
        <f t="shared" si="1"/>
        <v>104424</v>
      </c>
      <c r="Y24" s="20">
        <f t="shared" si="1"/>
        <v>15502</v>
      </c>
      <c r="Z24" s="66">
        <f t="shared" si="1"/>
        <v>104340</v>
      </c>
      <c r="AA24" s="20">
        <f t="shared" si="1"/>
        <v>15311</v>
      </c>
      <c r="AB24" s="66">
        <f t="shared" si="1"/>
        <v>104191</v>
      </c>
      <c r="AC24" s="20">
        <f t="shared" si="1"/>
        <v>15683</v>
      </c>
      <c r="AD24" s="66">
        <f t="shared" si="1"/>
        <v>105978</v>
      </c>
      <c r="AE24" s="20">
        <f t="shared" si="1"/>
        <v>16421</v>
      </c>
      <c r="AF24" s="66">
        <f>SUM(AF11:AF23)</f>
        <v>107897</v>
      </c>
      <c r="AG24" s="20">
        <f t="shared" si="1"/>
        <v>16540</v>
      </c>
      <c r="AH24" s="66">
        <f t="shared" si="1"/>
        <v>107445</v>
      </c>
      <c r="AI24" s="26">
        <f t="shared" si="1"/>
        <v>16569</v>
      </c>
      <c r="AJ24" s="26">
        <f t="shared" si="1"/>
        <v>108161</v>
      </c>
      <c r="AK24" s="26">
        <f t="shared" si="1"/>
        <v>18095</v>
      </c>
      <c r="AL24" s="26">
        <f t="shared" si="1"/>
        <v>113448</v>
      </c>
    </row>
    <row r="25" spans="1:196" ht="12.75" customHeight="1"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46"/>
      <c r="Q25" s="18"/>
      <c r="R25" s="20"/>
      <c r="S25" s="20"/>
      <c r="T25" s="20"/>
      <c r="U25" s="20"/>
      <c r="V25" s="20"/>
    </row>
    <row r="26" spans="1:196" ht="37.5" customHeight="1">
      <c r="A26" s="24" t="s">
        <v>24</v>
      </c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46"/>
      <c r="Q26" s="18"/>
      <c r="R26" s="20"/>
      <c r="S26" s="20"/>
      <c r="T26" s="20"/>
      <c r="U26" s="20"/>
      <c r="V26" s="20"/>
      <c r="AM26" s="88"/>
      <c r="AN26" s="88"/>
      <c r="AO26" s="88"/>
      <c r="AP26" s="88"/>
      <c r="AQ26" s="88"/>
      <c r="AR26" s="88"/>
      <c r="AS26" s="88"/>
      <c r="AT26" s="88"/>
      <c r="AU26" s="88"/>
      <c r="AV26" s="88"/>
    </row>
    <row r="27" spans="1:196" ht="12.75" customHeight="1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46"/>
      <c r="Q27" s="18"/>
      <c r="R27" s="20"/>
      <c r="S27" s="20"/>
      <c r="T27" s="20"/>
      <c r="U27" s="20"/>
      <c r="V27" s="20"/>
    </row>
    <row r="28" spans="1:196" ht="12.75" customHeight="1">
      <c r="A28" s="1" t="s">
        <v>25</v>
      </c>
      <c r="B28" s="8">
        <v>4.2424242424242427E-2</v>
      </c>
      <c r="C28" s="9">
        <f>'79Pivot'!C24</f>
        <v>2.4122807E-2</v>
      </c>
      <c r="D28" s="9">
        <f>'79Pivot'!D24</f>
        <v>1.6404199500000001E-2</v>
      </c>
      <c r="E28" s="9">
        <f>'79Pivot'!E24</f>
        <v>1.4411027599999999E-2</v>
      </c>
      <c r="F28" s="9">
        <f>'79Pivot'!F24</f>
        <v>1.13207547E-2</v>
      </c>
      <c r="G28" s="9">
        <f>'79Pivot'!G24</f>
        <v>9.4290203999999999E-3</v>
      </c>
      <c r="H28" s="9">
        <f>'79Pivot'!H24</f>
        <v>1.4606155500000001E-2</v>
      </c>
      <c r="I28" s="9">
        <f>'79Pivot'!I24</f>
        <v>2.3054755E-2</v>
      </c>
      <c r="J28" s="9">
        <f>'79Pivot'!J24</f>
        <v>2.45730945E-2</v>
      </c>
      <c r="K28" s="9">
        <f>'79Pivot'!K24</f>
        <v>2.7789473700000001E-2</v>
      </c>
      <c r="L28" s="9">
        <f>'79Pivot'!L24</f>
        <v>3.07017544E-2</v>
      </c>
      <c r="M28" s="9">
        <f>'79Pivot'!M24</f>
        <v>2.9254370299999999E-2</v>
      </c>
      <c r="N28" s="9">
        <f>'79Pivot'!N24</f>
        <v>2.8233749200000002E-2</v>
      </c>
      <c r="O28" s="9">
        <f>'79Pivot'!O24</f>
        <v>2.4032042699999999E-2</v>
      </c>
      <c r="P28" s="46">
        <f>'79Pivot'!P24</f>
        <v>2.8149873799999999E-2</v>
      </c>
      <c r="Q28" s="18">
        <v>49</v>
      </c>
      <c r="R28" s="20">
        <f>87+8</f>
        <v>95</v>
      </c>
      <c r="S28" s="20">
        <f>72+32</f>
        <v>104</v>
      </c>
      <c r="T28" s="20">
        <f>69+1+28</f>
        <v>98</v>
      </c>
      <c r="U28" s="20">
        <f>44+20</f>
        <v>64</v>
      </c>
      <c r="V28" s="20">
        <f>44+17</f>
        <v>61</v>
      </c>
      <c r="W28" s="1">
        <f>57+36</f>
        <v>93</v>
      </c>
      <c r="X28" s="61">
        <v>2341</v>
      </c>
      <c r="Y28" s="20">
        <f>87+20</f>
        <v>107</v>
      </c>
      <c r="Z28" s="61">
        <v>2401</v>
      </c>
      <c r="AA28" s="1">
        <f>85+16</f>
        <v>101</v>
      </c>
      <c r="AB28" s="66">
        <v>2595</v>
      </c>
      <c r="AC28" s="1">
        <v>133</v>
      </c>
      <c r="AD28" s="61">
        <v>2609</v>
      </c>
      <c r="AE28" s="1">
        <v>150</v>
      </c>
      <c r="AF28" s="61">
        <v>2916</v>
      </c>
      <c r="AG28" s="20">
        <v>151</v>
      </c>
      <c r="AH28" s="66">
        <v>3418</v>
      </c>
      <c r="AI28" s="26">
        <v>162</v>
      </c>
      <c r="AJ28" s="66">
        <v>3698</v>
      </c>
      <c r="AK28" s="1">
        <v>55</v>
      </c>
      <c r="AL28" s="61">
        <v>1058</v>
      </c>
    </row>
    <row r="29" spans="1:196" ht="12.75" customHeight="1">
      <c r="A29" s="1" t="s">
        <v>26</v>
      </c>
      <c r="B29" s="8">
        <v>2.4509803921568627E-3</v>
      </c>
      <c r="C29" s="9">
        <f>'79Pivot'!C25</f>
        <v>6.8634179999999998E-4</v>
      </c>
      <c r="D29" s="9">
        <f>'79Pivot'!D25</f>
        <v>2.045687E-3</v>
      </c>
      <c r="E29" s="9">
        <f>'79Pivot'!E25</f>
        <v>6.2695920000000003E-4</v>
      </c>
      <c r="F29" s="9">
        <f>'79Pivot'!F25</f>
        <v>3.6656889999999999E-4</v>
      </c>
      <c r="G29" s="9">
        <f>'79Pivot'!G25</f>
        <v>6.1519530000000002E-4</v>
      </c>
      <c r="H29" s="9">
        <f>'79Pivot'!H25</f>
        <v>7.0126230000000002E-4</v>
      </c>
      <c r="I29" s="9">
        <f>'79Pivot'!I25</f>
        <v>0</v>
      </c>
      <c r="J29" s="9">
        <f>'79Pivot'!J25</f>
        <v>9.3312600000000005E-4</v>
      </c>
      <c r="K29" s="9">
        <f>'79Pivot'!K25</f>
        <v>0</v>
      </c>
      <c r="L29" s="9">
        <f>'79Pivot'!L25</f>
        <v>3.577818E-4</v>
      </c>
      <c r="M29" s="9">
        <f>'79Pivot'!M25</f>
        <v>1.7780939E-3</v>
      </c>
      <c r="N29" s="9">
        <f>'79Pivot'!N25</f>
        <v>1.0452962000000001E-3</v>
      </c>
      <c r="O29" s="9">
        <f>'79Pivot'!O25</f>
        <v>2.0086082999999999E-3</v>
      </c>
      <c r="P29" s="46">
        <f>'79Pivot'!P25</f>
        <v>9.4966759999999995E-4</v>
      </c>
      <c r="Q29" s="18">
        <v>5</v>
      </c>
      <c r="R29" s="20">
        <v>3</v>
      </c>
      <c r="S29" s="20">
        <v>8</v>
      </c>
      <c r="T29" s="20">
        <f>7+14+11</f>
        <v>32</v>
      </c>
      <c r="U29" s="20">
        <v>20</v>
      </c>
      <c r="V29" s="20">
        <v>7</v>
      </c>
      <c r="W29" s="1">
        <v>6</v>
      </c>
      <c r="X29" s="61">
        <v>3319</v>
      </c>
      <c r="Y29" s="20">
        <v>3</v>
      </c>
      <c r="Z29" s="61">
        <f>3269-183</f>
        <v>3086</v>
      </c>
      <c r="AA29" s="1">
        <v>4</v>
      </c>
      <c r="AB29" s="66">
        <v>3152</v>
      </c>
      <c r="AC29" s="1">
        <v>0</v>
      </c>
      <c r="AD29" s="61">
        <f>3486-189</f>
        <v>3297</v>
      </c>
      <c r="AE29" s="1">
        <v>4</v>
      </c>
      <c r="AF29" s="61">
        <v>3300</v>
      </c>
      <c r="AG29" s="20">
        <v>6</v>
      </c>
      <c r="AH29" s="66">
        <v>3473</v>
      </c>
      <c r="AI29" s="26">
        <v>5</v>
      </c>
      <c r="AJ29" s="66">
        <v>3591</v>
      </c>
      <c r="AK29" s="1">
        <v>163</v>
      </c>
      <c r="AL29" s="61">
        <v>4432</v>
      </c>
    </row>
    <row r="30" spans="1:196" ht="12.75" customHeight="1">
      <c r="A30" s="1" t="s">
        <v>27</v>
      </c>
      <c r="B30" s="8">
        <v>2.7580772261623326E-3</v>
      </c>
      <c r="C30" s="9">
        <f>'79Pivot'!C26</f>
        <v>1.4710209000000001E-3</v>
      </c>
      <c r="D30" s="9">
        <f>'79Pivot'!D26</f>
        <v>4.0149125000000004E-3</v>
      </c>
      <c r="E30" s="9">
        <f>'79Pivot'!E26</f>
        <v>6.3583815000000004E-3</v>
      </c>
      <c r="F30" s="9">
        <f>'79Pivot'!F26</f>
        <v>4.6852122999999999E-3</v>
      </c>
      <c r="G30" s="9">
        <f>'79Pivot'!G26</f>
        <v>4.0567950999999998E-3</v>
      </c>
      <c r="H30" s="9">
        <f>'79Pivot'!H26</f>
        <v>4.0183696999999997E-3</v>
      </c>
      <c r="I30" s="9">
        <f>'79Pivot'!I26</f>
        <v>3.6302709E-3</v>
      </c>
      <c r="J30" s="9">
        <f>'79Pivot'!J26</f>
        <v>3.5287730999999998E-3</v>
      </c>
      <c r="K30" s="9">
        <f>'79Pivot'!K26</f>
        <v>6.4716542000000004E-3</v>
      </c>
      <c r="L30" s="9">
        <f>'79Pivot'!L26</f>
        <v>5.8974359000000002E-3</v>
      </c>
      <c r="M30" s="9">
        <f>'79Pivot'!M26</f>
        <v>7.8941258000000004E-3</v>
      </c>
      <c r="N30" s="9">
        <f>'79Pivot'!N26</f>
        <v>9.1106290999999999E-3</v>
      </c>
      <c r="O30" s="9">
        <f>'79Pivot'!O26</f>
        <v>7.2965388000000003E-3</v>
      </c>
      <c r="P30" s="46">
        <f>'79Pivot'!P26</f>
        <v>7.5571177999999998E-3</v>
      </c>
      <c r="Q30" s="18">
        <v>7</v>
      </c>
      <c r="R30" s="20">
        <v>9</v>
      </c>
      <c r="S30" s="20">
        <f>15+1</f>
        <v>16</v>
      </c>
      <c r="T30" s="20">
        <f>26+7</f>
        <v>33</v>
      </c>
      <c r="U30" s="20">
        <v>23</v>
      </c>
      <c r="V30" s="20">
        <f>26+16</f>
        <v>42</v>
      </c>
      <c r="W30" s="1">
        <v>28</v>
      </c>
      <c r="X30" s="61">
        <f>3989-175</f>
        <v>3814</v>
      </c>
      <c r="Y30" s="20">
        <f>23+2+4</f>
        <v>29</v>
      </c>
      <c r="Z30" s="61">
        <f>4065-173</f>
        <v>3892</v>
      </c>
      <c r="AA30" s="1">
        <f>11+3+5</f>
        <v>19</v>
      </c>
      <c r="AB30" s="66">
        <f>4136-137</f>
        <v>3999</v>
      </c>
      <c r="AC30" s="1">
        <f>34+1+4</f>
        <v>39</v>
      </c>
      <c r="AD30" s="61">
        <f>4355-136</f>
        <v>4219</v>
      </c>
      <c r="AE30" s="1">
        <v>47</v>
      </c>
      <c r="AF30" s="61">
        <v>4372</v>
      </c>
      <c r="AG30" s="20">
        <v>48</v>
      </c>
      <c r="AH30" s="66">
        <v>4767</v>
      </c>
      <c r="AI30" s="26">
        <v>56</v>
      </c>
      <c r="AJ30" s="66">
        <v>5039</v>
      </c>
      <c r="AK30" s="1">
        <v>9</v>
      </c>
      <c r="AL30" s="61">
        <v>4202</v>
      </c>
    </row>
    <row r="31" spans="1:196" ht="12.75" customHeight="1">
      <c r="A31" s="1" t="s">
        <v>28</v>
      </c>
      <c r="B31" s="10" t="s">
        <v>29</v>
      </c>
      <c r="C31" s="9">
        <f>'79Pivot'!C27</f>
        <v>0</v>
      </c>
      <c r="D31" s="9">
        <f>'79Pivot'!D27</f>
        <v>0</v>
      </c>
      <c r="E31" s="9">
        <f>'79Pivot'!E27</f>
        <v>9.2838195999999998E-3</v>
      </c>
      <c r="F31" s="9">
        <f>'79Pivot'!F27</f>
        <v>5.3120850000000002E-3</v>
      </c>
      <c r="G31" s="9">
        <f>'79Pivot'!G27</f>
        <v>8.6100861000000008E-3</v>
      </c>
      <c r="H31" s="9">
        <f>'79Pivot'!H27</f>
        <v>6.8571429E-3</v>
      </c>
      <c r="I31" s="9">
        <f>'79Pivot'!I27</f>
        <v>4.5871560000000002E-3</v>
      </c>
      <c r="J31" s="9">
        <f>'79Pivot'!J27</f>
        <v>1.03686636E-2</v>
      </c>
      <c r="K31" s="9">
        <f>'79Pivot'!K27</f>
        <v>1.25284738E-2</v>
      </c>
      <c r="L31" s="9">
        <f>'79Pivot'!L27</f>
        <v>7.9817559999999996E-3</v>
      </c>
      <c r="M31" s="9">
        <f>'79Pivot'!M27</f>
        <v>1.7182130600000001E-2</v>
      </c>
      <c r="N31" s="9">
        <f>'79Pivot'!N27</f>
        <v>3.7894736800000002E-2</v>
      </c>
      <c r="O31" s="9">
        <f>'79Pivot'!O27</f>
        <v>3.2846715300000003E-2</v>
      </c>
      <c r="P31" s="46">
        <f>'79Pivot'!P27</f>
        <v>0</v>
      </c>
      <c r="Q31" s="11" t="s">
        <v>29</v>
      </c>
      <c r="R31" s="20">
        <f>11+14</f>
        <v>25</v>
      </c>
      <c r="S31" s="20">
        <f>5+13</f>
        <v>18</v>
      </c>
      <c r="T31" s="20">
        <v>18</v>
      </c>
      <c r="U31" s="20">
        <v>15</v>
      </c>
      <c r="V31" s="20">
        <v>13</v>
      </c>
      <c r="W31" s="1">
        <v>10</v>
      </c>
      <c r="X31" s="61">
        <f>875-18</f>
        <v>857</v>
      </c>
      <c r="Y31" s="20">
        <v>5</v>
      </c>
      <c r="Z31" s="61">
        <f>872-6</f>
        <v>866</v>
      </c>
      <c r="AA31" s="1">
        <v>13</v>
      </c>
      <c r="AB31" s="66">
        <v>866</v>
      </c>
      <c r="AC31" s="1">
        <v>14</v>
      </c>
      <c r="AD31" s="61">
        <v>878</v>
      </c>
      <c r="AE31" s="1">
        <v>8</v>
      </c>
      <c r="AF31" s="61">
        <v>877</v>
      </c>
      <c r="AG31" s="20">
        <v>16</v>
      </c>
      <c r="AH31" s="66">
        <v>873</v>
      </c>
      <c r="AI31" s="26">
        <v>37</v>
      </c>
      <c r="AJ31" s="66">
        <v>972</v>
      </c>
      <c r="AK31" s="1">
        <v>51</v>
      </c>
      <c r="AL31" s="61">
        <v>5694</v>
      </c>
    </row>
    <row r="32" spans="1:196" ht="12.75" customHeight="1">
      <c r="A32" s="19" t="s">
        <v>30</v>
      </c>
      <c r="B32" s="10" t="s">
        <v>31</v>
      </c>
      <c r="C32" s="9">
        <f>'79Pivot'!C28</f>
        <v>0</v>
      </c>
      <c r="D32" s="9">
        <f>'79Pivot'!D28</f>
        <v>0</v>
      </c>
      <c r="E32" s="9">
        <f>'79Pivot'!E28</f>
        <v>0</v>
      </c>
      <c r="F32" s="9">
        <f>'79Pivot'!F28</f>
        <v>0</v>
      </c>
      <c r="G32" s="9">
        <f>'79Pivot'!G28</f>
        <v>0</v>
      </c>
      <c r="H32" s="9">
        <f>'79Pivot'!H28</f>
        <v>2.0671834600000001E-2</v>
      </c>
      <c r="I32" s="9">
        <f>'79Pivot'!I28</f>
        <v>3.7974683500000002E-2</v>
      </c>
      <c r="J32" s="9">
        <f>'79Pivot'!J28</f>
        <v>3.9325842700000002E-2</v>
      </c>
      <c r="K32" s="9">
        <f>'79Pivot'!K28</f>
        <v>5.7724957600000001E-2</v>
      </c>
      <c r="L32" s="9">
        <f>'79Pivot'!L28</f>
        <v>5.8043117700000001E-2</v>
      </c>
      <c r="M32" s="9">
        <f>'79Pivot'!M28</f>
        <v>3.8880248800000003E-2</v>
      </c>
      <c r="N32" s="9">
        <f>'79Pivot'!N28</f>
        <v>4.0435458799999997E-2</v>
      </c>
      <c r="O32" s="9">
        <f>'79Pivot'!O28</f>
        <v>2.83687943E-2</v>
      </c>
      <c r="P32" s="46">
        <f>'79Pivot'!P28</f>
        <v>0</v>
      </c>
      <c r="Q32" s="25" t="s">
        <v>31</v>
      </c>
      <c r="R32" s="26" t="s">
        <v>31</v>
      </c>
      <c r="S32" s="26" t="s">
        <v>31</v>
      </c>
      <c r="T32" s="26" t="s">
        <v>31</v>
      </c>
      <c r="U32" s="20">
        <v>3</v>
      </c>
      <c r="V32" s="20">
        <f>3+1</f>
        <v>4</v>
      </c>
      <c r="W32" s="1">
        <v>6</v>
      </c>
      <c r="X32" s="61">
        <v>2081</v>
      </c>
      <c r="Y32" s="20">
        <v>6</v>
      </c>
      <c r="Z32" s="61">
        <v>2324</v>
      </c>
      <c r="AA32" s="1">
        <v>5</v>
      </c>
      <c r="AB32" s="66">
        <v>2291</v>
      </c>
      <c r="AC32" s="1">
        <v>9</v>
      </c>
      <c r="AD32" s="61">
        <v>2652</v>
      </c>
      <c r="AE32" s="1">
        <v>5</v>
      </c>
      <c r="AF32" s="61">
        <v>2646</v>
      </c>
      <c r="AG32" s="20">
        <v>6</v>
      </c>
      <c r="AH32" s="66">
        <v>2885</v>
      </c>
      <c r="AI32" s="26">
        <v>11</v>
      </c>
      <c r="AJ32" s="66">
        <v>3054</v>
      </c>
      <c r="AK32" s="1">
        <v>36</v>
      </c>
      <c r="AL32" s="61">
        <v>1142</v>
      </c>
    </row>
    <row r="33" spans="1:38" ht="12.75" customHeight="1">
      <c r="A33" s="19" t="s">
        <v>86</v>
      </c>
      <c r="B33" s="10" t="s">
        <v>31</v>
      </c>
      <c r="C33" s="9">
        <f>'79Pivot'!C29</f>
        <v>0</v>
      </c>
      <c r="D33" s="9">
        <f>'79Pivot'!D29</f>
        <v>0</v>
      </c>
      <c r="E33" s="9">
        <f>'79Pivot'!E29</f>
        <v>0</v>
      </c>
      <c r="F33" s="9">
        <f>'79Pivot'!F29</f>
        <v>0</v>
      </c>
      <c r="G33" s="9">
        <f>'79Pivot'!G29</f>
        <v>0</v>
      </c>
      <c r="H33" s="9">
        <f>'79Pivot'!H29</f>
        <v>1.9550342000000001E-3</v>
      </c>
      <c r="I33" s="9">
        <f>'79Pivot'!I29</f>
        <v>2.6178009999999999E-3</v>
      </c>
      <c r="J33" s="9">
        <f>'79Pivot'!J29</f>
        <v>2.214349E-3</v>
      </c>
      <c r="K33" s="9">
        <f>'79Pivot'!K29</f>
        <v>3.0647985999999999E-3</v>
      </c>
      <c r="L33" s="9">
        <f>'79Pivot'!L29</f>
        <v>1.6286645000000001E-3</v>
      </c>
      <c r="M33" s="9">
        <f>'79Pivot'!M29</f>
        <v>1.9825534999999999E-3</v>
      </c>
      <c r="N33" s="9">
        <f>'79Pivot'!N29</f>
        <v>4.1260315000000002E-3</v>
      </c>
      <c r="O33" s="9">
        <f>'79Pivot'!O29</f>
        <v>3.0364372E-3</v>
      </c>
      <c r="P33" s="46">
        <f>'79Pivot'!P29</f>
        <v>0</v>
      </c>
      <c r="Q33" s="25" t="s">
        <v>31</v>
      </c>
      <c r="R33" s="26" t="s">
        <v>31</v>
      </c>
      <c r="S33" s="26" t="s">
        <v>31</v>
      </c>
      <c r="T33" s="26" t="s">
        <v>31</v>
      </c>
      <c r="U33" s="26" t="s">
        <v>31</v>
      </c>
      <c r="V33" s="26" t="s">
        <v>31</v>
      </c>
      <c r="W33" s="1">
        <v>7</v>
      </c>
      <c r="X33" s="61">
        <v>385</v>
      </c>
      <c r="Y33" s="20">
        <v>15</v>
      </c>
      <c r="Z33" s="61">
        <v>401</v>
      </c>
      <c r="AA33" s="1">
        <v>14</v>
      </c>
      <c r="AB33" s="66">
        <v>357</v>
      </c>
      <c r="AC33" s="1">
        <v>34</v>
      </c>
      <c r="AD33" s="61">
        <v>599</v>
      </c>
      <c r="AE33" s="1">
        <v>35</v>
      </c>
      <c r="AF33" s="61">
        <v>609</v>
      </c>
      <c r="AG33" s="20">
        <v>24</v>
      </c>
      <c r="AH33" s="66">
        <v>641</v>
      </c>
      <c r="AI33" s="26">
        <v>26</v>
      </c>
      <c r="AJ33" s="66">
        <v>641</v>
      </c>
      <c r="AK33" s="1">
        <v>9</v>
      </c>
      <c r="AL33" s="61">
        <v>3124</v>
      </c>
    </row>
    <row r="34" spans="1:38" ht="12.75" customHeight="1">
      <c r="A34" s="19" t="s">
        <v>32</v>
      </c>
      <c r="B34" s="8">
        <v>1.2050785452980417E-2</v>
      </c>
      <c r="C34" s="9">
        <f>'79Pivot'!C30</f>
        <v>6.3209494000000003E-3</v>
      </c>
      <c r="D34" s="9">
        <f>'79Pivot'!D30</f>
        <v>8.0675659000000004E-3</v>
      </c>
      <c r="E34" s="9">
        <f>'79Pivot'!E30</f>
        <v>8.0010001000000008E-3</v>
      </c>
      <c r="F34" s="9">
        <f>'79Pivot'!F30</f>
        <v>8.6108648999999992E-3</v>
      </c>
      <c r="G34" s="9">
        <f>'79Pivot'!G30</f>
        <v>7.2916667000000003E-3</v>
      </c>
      <c r="H34" s="9">
        <f>'79Pivot'!H30</f>
        <v>9.8539504000000003E-3</v>
      </c>
      <c r="I34" s="9">
        <f>'79Pivot'!I30</f>
        <v>7.6881817000000003E-3</v>
      </c>
      <c r="J34" s="9">
        <f>'79Pivot'!J30</f>
        <v>6.6127846999999998E-3</v>
      </c>
      <c r="K34" s="9">
        <f>'79Pivot'!K30</f>
        <v>6.4995356999999997E-3</v>
      </c>
      <c r="L34" s="9">
        <f>'79Pivot'!L30</f>
        <v>8.0800308000000005E-3</v>
      </c>
      <c r="M34" s="9">
        <f>'79Pivot'!M30</f>
        <v>7.9131394999999993E-3</v>
      </c>
      <c r="N34" s="9">
        <f>'79Pivot'!N30</f>
        <v>7.6548364999999997E-3</v>
      </c>
      <c r="O34" s="9">
        <f>'79Pivot'!O30</f>
        <v>7.1810286999999997E-3</v>
      </c>
      <c r="P34" s="46">
        <f>'79Pivot'!P30</f>
        <v>0</v>
      </c>
      <c r="Q34" s="18">
        <f>13+21+18+4</f>
        <v>56</v>
      </c>
      <c r="R34" s="20">
        <v>60</v>
      </c>
      <c r="S34" s="20">
        <f>65+7</f>
        <v>72</v>
      </c>
      <c r="T34" s="20">
        <f>66+13</f>
        <v>79</v>
      </c>
      <c r="U34" s="20">
        <v>74</v>
      </c>
      <c r="V34" s="20">
        <f>32+8</f>
        <v>40</v>
      </c>
      <c r="W34" s="1">
        <f>56+7</f>
        <v>63</v>
      </c>
      <c r="X34" s="61">
        <f>5802-3</f>
        <v>5799</v>
      </c>
      <c r="Y34" s="20">
        <v>45</v>
      </c>
      <c r="Z34" s="61">
        <v>5713</v>
      </c>
      <c r="AA34" s="1">
        <v>37</v>
      </c>
      <c r="AB34" s="66">
        <v>5603</v>
      </c>
      <c r="AC34" s="1">
        <v>39</v>
      </c>
      <c r="AD34" s="61">
        <v>5538</v>
      </c>
      <c r="AE34" s="1">
        <v>44</v>
      </c>
      <c r="AF34" s="61">
        <v>5170</v>
      </c>
      <c r="AG34" s="20">
        <v>46</v>
      </c>
      <c r="AH34" s="66">
        <v>5407</v>
      </c>
      <c r="AI34" s="26">
        <v>47</v>
      </c>
      <c r="AJ34" s="66">
        <v>5711</v>
      </c>
      <c r="AK34" s="1">
        <v>20</v>
      </c>
      <c r="AL34" s="61">
        <v>700</v>
      </c>
    </row>
    <row r="35" spans="1:38" ht="12.75" customHeight="1">
      <c r="A35" s="19" t="s">
        <v>33</v>
      </c>
      <c r="B35" s="8">
        <v>1.5832263585793753E-2</v>
      </c>
      <c r="C35" s="9">
        <f>'79Pivot'!C31</f>
        <v>1.40290426E-2</v>
      </c>
      <c r="D35" s="9">
        <f>'79Pivot'!D31</f>
        <v>1.4688738600000001E-2</v>
      </c>
      <c r="E35" s="9">
        <f>'79Pivot'!E31</f>
        <v>1.0810810800000001E-2</v>
      </c>
      <c r="F35" s="9">
        <f>'79Pivot'!F31</f>
        <v>1.4156160100000001E-2</v>
      </c>
      <c r="G35" s="9">
        <f>'79Pivot'!G31</f>
        <v>1.32269099E-2</v>
      </c>
      <c r="H35" s="9">
        <f>'79Pivot'!H31</f>
        <v>6.5060240999999996E-3</v>
      </c>
      <c r="I35" s="9">
        <f>'79Pivot'!I31</f>
        <v>7.1569594999999998E-3</v>
      </c>
      <c r="J35" s="9">
        <f>'79Pivot'!J31</f>
        <v>7.7250931999999998E-3</v>
      </c>
      <c r="K35" s="9">
        <f>'79Pivot'!K31</f>
        <v>8.0493695000000004E-3</v>
      </c>
      <c r="L35" s="9">
        <f>'79Pivot'!L31</f>
        <v>7.0005385000000003E-3</v>
      </c>
      <c r="M35" s="9">
        <f>'79Pivot'!M31</f>
        <v>7.1373948999999999E-3</v>
      </c>
      <c r="N35" s="9">
        <f>'79Pivot'!N31</f>
        <v>8.8764900000000008E-3</v>
      </c>
      <c r="O35" s="9">
        <f>'79Pivot'!O31</f>
        <v>8.7436722999999997E-3</v>
      </c>
      <c r="P35" s="46">
        <f>'79Pivot'!P31</f>
        <v>0</v>
      </c>
      <c r="Q35" s="18">
        <f>8+25+2+2</f>
        <v>37</v>
      </c>
      <c r="R35" s="20">
        <f>57+15</f>
        <v>72</v>
      </c>
      <c r="S35" s="20">
        <f>63+11</f>
        <v>74</v>
      </c>
      <c r="T35" s="20">
        <f>47+17</f>
        <v>64</v>
      </c>
      <c r="U35" s="20">
        <f>64+12</f>
        <v>76</v>
      </c>
      <c r="V35" s="20">
        <f>63+12</f>
        <v>75</v>
      </c>
      <c r="W35" s="1">
        <f>26+6</f>
        <v>32</v>
      </c>
      <c r="X35" s="61">
        <v>4838</v>
      </c>
      <c r="Y35" s="20">
        <v>29</v>
      </c>
      <c r="Z35" s="61">
        <v>4746</v>
      </c>
      <c r="AA35" s="1">
        <v>30</v>
      </c>
      <c r="AB35" s="66">
        <v>4462</v>
      </c>
      <c r="AC35" s="1">
        <v>35</v>
      </c>
      <c r="AD35" s="61">
        <v>4437</v>
      </c>
      <c r="AE35" s="1">
        <v>28</v>
      </c>
      <c r="AF35" s="61">
        <v>4289</v>
      </c>
      <c r="AG35" s="20">
        <v>33</v>
      </c>
      <c r="AH35" s="66">
        <v>4458</v>
      </c>
      <c r="AI35" s="26">
        <v>37</v>
      </c>
      <c r="AJ35" s="66">
        <v>4526</v>
      </c>
      <c r="AK35" s="1">
        <v>50</v>
      </c>
      <c r="AL35" s="61">
        <v>6164</v>
      </c>
    </row>
    <row r="36" spans="1:38" ht="12.75" customHeight="1">
      <c r="A36" s="19" t="s">
        <v>34</v>
      </c>
      <c r="B36" s="8">
        <v>7.6208530805687208E-2</v>
      </c>
      <c r="C36" s="9">
        <f>'79Pivot'!C32</f>
        <v>3.3833630099999998E-2</v>
      </c>
      <c r="D36" s="9">
        <f>'79Pivot'!D32</f>
        <v>2.9214986599999999E-2</v>
      </c>
      <c r="E36" s="9">
        <f>'79Pivot'!E32</f>
        <v>2.68292683E-2</v>
      </c>
      <c r="F36" s="9">
        <f>'79Pivot'!F32</f>
        <v>2.4691358E-2</v>
      </c>
      <c r="G36" s="9">
        <f>'79Pivot'!G32</f>
        <v>4.2207792199999997E-2</v>
      </c>
      <c r="H36" s="9">
        <f>'79Pivot'!H32</f>
        <v>3.50011218E-2</v>
      </c>
      <c r="I36" s="9">
        <f>'79Pivot'!I32</f>
        <v>2.7430865299999999E-2</v>
      </c>
      <c r="J36" s="9">
        <f>'79Pivot'!J32</f>
        <v>3.1078224099999999E-2</v>
      </c>
      <c r="K36" s="9">
        <f>'79Pivot'!K32</f>
        <v>2.8954191899999999E-2</v>
      </c>
      <c r="L36" s="9">
        <f>'79Pivot'!L32</f>
        <v>2.8423772600000001E-2</v>
      </c>
      <c r="M36" s="9">
        <f>'79Pivot'!M32</f>
        <v>2.7418635800000001E-2</v>
      </c>
      <c r="N36" s="9">
        <f>'79Pivot'!N32</f>
        <v>3.2100488500000003E-2</v>
      </c>
      <c r="O36" s="9">
        <f>'79Pivot'!O32</f>
        <v>3.45501956E-2</v>
      </c>
      <c r="P36" s="46">
        <f>'79Pivot'!P32</f>
        <v>0</v>
      </c>
      <c r="Q36" s="18">
        <f>60+118+191+33</f>
        <v>402</v>
      </c>
      <c r="R36" s="20">
        <f>134+151</f>
        <v>285</v>
      </c>
      <c r="S36" s="20">
        <f>132+218</f>
        <v>350</v>
      </c>
      <c r="T36" s="20">
        <f>118+204</f>
        <v>322</v>
      </c>
      <c r="U36" s="20">
        <f>109+206</f>
        <v>315</v>
      </c>
      <c r="V36" s="20">
        <f>119+186</f>
        <v>305</v>
      </c>
      <c r="W36" s="1">
        <f>122+152</f>
        <v>274</v>
      </c>
      <c r="X36" s="61">
        <f>4526-79</f>
        <v>4447</v>
      </c>
      <c r="Y36" s="20">
        <v>139</v>
      </c>
      <c r="Z36" s="61">
        <v>4559</v>
      </c>
      <c r="AA36" s="1">
        <v>161</v>
      </c>
      <c r="AB36" s="66">
        <v>4825</v>
      </c>
      <c r="AC36" s="1">
        <v>138</v>
      </c>
      <c r="AD36" s="61">
        <v>4808</v>
      </c>
      <c r="AE36" s="1">
        <v>133</v>
      </c>
      <c r="AF36" s="61">
        <v>4696</v>
      </c>
      <c r="AG36" s="20">
        <v>125</v>
      </c>
      <c r="AH36" s="66">
        <v>4513</v>
      </c>
      <c r="AI36" s="26">
        <v>140</v>
      </c>
      <c r="AJ36" s="66">
        <v>4322</v>
      </c>
      <c r="AK36" s="1">
        <v>46</v>
      </c>
      <c r="AL36" s="61">
        <v>4862</v>
      </c>
    </row>
    <row r="37" spans="1:38" ht="12.75" customHeight="1">
      <c r="A37" s="19" t="s">
        <v>35</v>
      </c>
      <c r="B37" s="8">
        <v>5.4830287206266322E-2</v>
      </c>
      <c r="C37" s="11" t="s">
        <v>31</v>
      </c>
      <c r="D37" s="11" t="s">
        <v>31</v>
      </c>
      <c r="E37" s="11" t="s">
        <v>31</v>
      </c>
      <c r="F37" s="11" t="s">
        <v>31</v>
      </c>
      <c r="G37" s="11" t="s">
        <v>31</v>
      </c>
      <c r="H37" s="11" t="s">
        <v>31</v>
      </c>
      <c r="I37" s="11" t="s">
        <v>31</v>
      </c>
      <c r="J37" s="12" t="s">
        <v>31</v>
      </c>
      <c r="K37" s="12" t="s">
        <v>31</v>
      </c>
      <c r="L37" s="12" t="s">
        <v>31</v>
      </c>
      <c r="M37" s="12" t="s">
        <v>31</v>
      </c>
      <c r="N37" s="12" t="s">
        <v>31</v>
      </c>
      <c r="O37" s="9" t="s">
        <v>31</v>
      </c>
      <c r="P37" s="46"/>
      <c r="Q37" s="18">
        <v>21</v>
      </c>
      <c r="R37" s="26" t="s">
        <v>31</v>
      </c>
      <c r="S37" s="26" t="s">
        <v>31</v>
      </c>
      <c r="T37" s="26" t="s">
        <v>31</v>
      </c>
      <c r="U37" s="26" t="s">
        <v>31</v>
      </c>
      <c r="V37" s="26" t="s">
        <v>31</v>
      </c>
      <c r="W37" s="26" t="s">
        <v>31</v>
      </c>
      <c r="X37" s="67" t="s">
        <v>31</v>
      </c>
      <c r="Y37" s="26" t="s">
        <v>31</v>
      </c>
      <c r="Z37" s="67" t="s">
        <v>31</v>
      </c>
      <c r="AA37" s="26" t="s">
        <v>31</v>
      </c>
      <c r="AC37" s="26" t="s">
        <v>31</v>
      </c>
    </row>
    <row r="38" spans="1:38" ht="12.75" customHeight="1">
      <c r="A38" s="1" t="s">
        <v>36</v>
      </c>
      <c r="B38" s="8">
        <v>3.4458993797381117E-3</v>
      </c>
      <c r="C38" s="9">
        <f>'79Pivot'!C33</f>
        <v>8.6318514999999991E-3</v>
      </c>
      <c r="D38" s="9">
        <f>'79Pivot'!D33</f>
        <v>6.5559440999999998E-3</v>
      </c>
      <c r="E38" s="9">
        <f>'79Pivot'!E33</f>
        <v>4.3975374000000001E-3</v>
      </c>
      <c r="F38" s="9">
        <f>'79Pivot'!F33</f>
        <v>3.1897927000000001E-3</v>
      </c>
      <c r="G38" s="9">
        <f>'79Pivot'!G33</f>
        <v>3.5033086999999999E-3</v>
      </c>
      <c r="H38" s="9">
        <f>'79Pivot'!H33</f>
        <v>5.3533191000000001E-3</v>
      </c>
      <c r="I38" s="9">
        <f>'79Pivot'!I33</f>
        <v>3.8431975000000002E-3</v>
      </c>
      <c r="J38" s="9">
        <f>'79Pivot'!J33</f>
        <v>3.8986354999999999E-3</v>
      </c>
      <c r="K38" s="9">
        <f>'79Pivot'!K33</f>
        <v>6.5662417999999998E-3</v>
      </c>
      <c r="L38" s="9">
        <f>'79Pivot'!L33</f>
        <v>6.2135921999999996E-3</v>
      </c>
      <c r="M38" s="9">
        <f>'79Pivot'!M33</f>
        <v>7.0370370000000003E-3</v>
      </c>
      <c r="N38" s="9">
        <f>'79Pivot'!N33</f>
        <v>1.0454217700000001E-2</v>
      </c>
      <c r="O38" s="9">
        <f>'79Pivot'!O33</f>
        <v>7.6767676999999999E-3</v>
      </c>
      <c r="P38" s="46">
        <f>'79Pivot'!P33</f>
        <v>7.7586206999999997E-3</v>
      </c>
      <c r="Q38" s="18">
        <v>5</v>
      </c>
      <c r="R38" s="20">
        <v>27</v>
      </c>
      <c r="S38" s="20">
        <f>18+6</f>
        <v>24</v>
      </c>
      <c r="T38" s="20">
        <v>23</v>
      </c>
      <c r="U38" s="20">
        <v>22</v>
      </c>
      <c r="V38" s="20">
        <f>24+4</f>
        <v>28</v>
      </c>
      <c r="W38" s="1">
        <v>24</v>
      </c>
      <c r="X38" s="61">
        <v>3093</v>
      </c>
      <c r="Y38" s="20">
        <v>23</v>
      </c>
      <c r="Z38" s="61">
        <v>2946</v>
      </c>
      <c r="AA38" s="1">
        <v>22</v>
      </c>
      <c r="AB38" s="66">
        <v>2820</v>
      </c>
      <c r="AC38" s="1">
        <v>27</v>
      </c>
      <c r="AD38" s="61">
        <v>2930</v>
      </c>
      <c r="AE38" s="1">
        <v>35</v>
      </c>
      <c r="AF38" s="61">
        <v>2926</v>
      </c>
      <c r="AG38" s="20">
        <v>34</v>
      </c>
      <c r="AH38" s="66">
        <v>3055</v>
      </c>
      <c r="AI38" s="26">
        <v>48</v>
      </c>
      <c r="AJ38" s="66">
        <v>3272</v>
      </c>
      <c r="AK38" s="1">
        <v>43</v>
      </c>
      <c r="AL38" s="61">
        <v>3618</v>
      </c>
    </row>
    <row r="39" spans="1:38" ht="12.75" customHeight="1">
      <c r="A39" s="1" t="s">
        <v>37</v>
      </c>
      <c r="B39" s="8">
        <v>2.7579162410623085E-2</v>
      </c>
      <c r="C39" s="9">
        <f>'79Pivot'!C34</f>
        <v>3.02734375E-2</v>
      </c>
      <c r="D39" s="9">
        <f>'79Pivot'!D34</f>
        <v>0</v>
      </c>
      <c r="E39" s="9">
        <f>'79Pivot'!E34</f>
        <v>8.5877862599999993E-2</v>
      </c>
      <c r="F39" s="9">
        <f>'79Pivot'!F34</f>
        <v>3.0859049199999999E-2</v>
      </c>
      <c r="G39" s="9">
        <f>'79Pivot'!G34</f>
        <v>0</v>
      </c>
      <c r="H39" s="9">
        <f>'79Pivot'!H34</f>
        <v>0</v>
      </c>
      <c r="I39" s="9">
        <f>'79Pivot'!I34</f>
        <v>2.5192442299999999E-2</v>
      </c>
      <c r="J39" s="9">
        <f>'79Pivot'!J34</f>
        <v>3.04568528E-2</v>
      </c>
      <c r="K39" s="9">
        <f>'79Pivot'!K34</f>
        <v>3.3069734000000003E-2</v>
      </c>
      <c r="L39" s="9">
        <f>'79Pivot'!L34</f>
        <v>4.4015444000000001E-2</v>
      </c>
      <c r="M39" s="9">
        <f>'79Pivot'!M34</f>
        <v>2.88529205E-2</v>
      </c>
      <c r="N39" s="9">
        <f>'79Pivot'!N34</f>
        <v>4.60358056E-2</v>
      </c>
      <c r="O39" s="9">
        <f>'79Pivot'!O34</f>
        <v>4.6386192E-2</v>
      </c>
      <c r="P39" s="46">
        <f>'79Pivot'!P34</f>
        <v>6.23598026E-2</v>
      </c>
      <c r="Q39" s="18">
        <f>17+10</f>
        <v>27</v>
      </c>
      <c r="R39" s="20">
        <f>22+22</f>
        <v>44</v>
      </c>
      <c r="S39" s="20">
        <f>25+18</f>
        <v>43</v>
      </c>
      <c r="T39" s="20">
        <f>34+17</f>
        <v>51</v>
      </c>
      <c r="U39" s="20">
        <f>36+11</f>
        <v>47</v>
      </c>
      <c r="V39" s="20">
        <f>44+13</f>
        <v>57</v>
      </c>
      <c r="W39" s="1">
        <v>67</v>
      </c>
      <c r="X39" s="61">
        <v>3610</v>
      </c>
      <c r="Y39" s="20">
        <v>0</v>
      </c>
      <c r="Z39" s="61">
        <f>3588-70</f>
        <v>3518</v>
      </c>
      <c r="AA39" s="1">
        <f>43+19</f>
        <v>62</v>
      </c>
      <c r="AB39" s="66">
        <f>3695-15</f>
        <v>3680</v>
      </c>
      <c r="AC39" s="1">
        <v>0</v>
      </c>
      <c r="AD39" s="61">
        <f>3916-78</f>
        <v>3838</v>
      </c>
      <c r="AE39" s="1">
        <v>0</v>
      </c>
      <c r="AF39" s="61">
        <v>3618</v>
      </c>
      <c r="AG39" s="20">
        <v>0</v>
      </c>
      <c r="AH39" s="66">
        <v>3876</v>
      </c>
      <c r="AI39" s="26">
        <v>0</v>
      </c>
      <c r="AJ39" s="66">
        <v>941</v>
      </c>
      <c r="AK39" s="1">
        <v>0</v>
      </c>
      <c r="AL39" s="61">
        <v>4811</v>
      </c>
    </row>
    <row r="40" spans="1:38" ht="12.75" customHeight="1">
      <c r="A40" s="19" t="s">
        <v>91</v>
      </c>
      <c r="B40" s="8">
        <v>4.3809523809523812E-2</v>
      </c>
      <c r="C40" s="9">
        <f>'79Pivot'!C35</f>
        <v>1.14810563E-2</v>
      </c>
      <c r="D40" s="9">
        <f>'79Pivot'!D35</f>
        <v>1.42095915E-2</v>
      </c>
      <c r="E40" s="9">
        <f>'79Pivot'!E35</f>
        <v>0</v>
      </c>
      <c r="F40" s="9">
        <f>'79Pivot'!F35</f>
        <v>0</v>
      </c>
      <c r="G40" s="9">
        <f>'79Pivot'!G35</f>
        <v>0</v>
      </c>
      <c r="H40" s="9">
        <f>'79Pivot'!H35</f>
        <v>0</v>
      </c>
      <c r="I40" s="9">
        <f>'79Pivot'!I35</f>
        <v>0</v>
      </c>
      <c r="J40" s="9">
        <f>'79Pivot'!J35</f>
        <v>8.7378640999999993E-3</v>
      </c>
      <c r="K40" s="9">
        <f>'79Pivot'!K35</f>
        <v>0</v>
      </c>
      <c r="L40" s="9">
        <f>'79Pivot'!L35</f>
        <v>0</v>
      </c>
      <c r="M40" s="9">
        <f>'79Pivot'!M35</f>
        <v>0</v>
      </c>
      <c r="N40" s="9">
        <f>'79Pivot'!N35</f>
        <v>0</v>
      </c>
      <c r="O40" s="9">
        <f>'79Pivot'!O35</f>
        <v>0</v>
      </c>
      <c r="P40" s="46">
        <f>'79Pivot'!P35</f>
        <v>0</v>
      </c>
      <c r="Q40" s="18">
        <v>23</v>
      </c>
      <c r="R40" s="20">
        <v>43</v>
      </c>
      <c r="S40" s="20">
        <v>44</v>
      </c>
      <c r="T40" s="20">
        <f>44+7</f>
        <v>51</v>
      </c>
      <c r="U40" s="20">
        <f>49+7</f>
        <v>56</v>
      </c>
      <c r="V40" s="20">
        <v>57</v>
      </c>
      <c r="W40" s="1">
        <f>64+12</f>
        <v>76</v>
      </c>
      <c r="X40" s="61">
        <v>1720</v>
      </c>
      <c r="Y40" s="20">
        <v>39</v>
      </c>
      <c r="Z40" s="61">
        <f>1699-138</f>
        <v>1561</v>
      </c>
      <c r="AA40" s="1">
        <v>45</v>
      </c>
      <c r="AB40" s="66">
        <f>1646-32</f>
        <v>1614</v>
      </c>
      <c r="AC40" s="1">
        <v>63</v>
      </c>
      <c r="AD40" s="61">
        <f>1675-45</f>
        <v>1630</v>
      </c>
      <c r="AE40" s="1">
        <v>72</v>
      </c>
      <c r="AF40" s="61">
        <v>1531</v>
      </c>
      <c r="AG40" s="20">
        <v>58</v>
      </c>
      <c r="AH40" s="66">
        <v>1624</v>
      </c>
      <c r="AI40" s="26">
        <v>93</v>
      </c>
      <c r="AJ40" s="66">
        <v>1680</v>
      </c>
      <c r="AK40" s="1">
        <v>106</v>
      </c>
      <c r="AL40" s="61">
        <v>1949</v>
      </c>
    </row>
    <row r="41" spans="1:38" ht="12.75" customHeight="1">
      <c r="A41" s="1" t="s">
        <v>38</v>
      </c>
      <c r="B41" s="8">
        <v>1.1194029850746268E-2</v>
      </c>
      <c r="C41" s="9">
        <f>'79Pivot'!C36</f>
        <v>7.6754385999999999E-3</v>
      </c>
      <c r="D41" s="9">
        <f>'79Pivot'!D36</f>
        <v>9.6359743000000008E-3</v>
      </c>
      <c r="E41" s="9">
        <f>'79Pivot'!E36</f>
        <v>9.8039215999999995E-3</v>
      </c>
      <c r="F41" s="9">
        <f>'79Pivot'!F36</f>
        <v>7.2840791000000002E-3</v>
      </c>
      <c r="G41" s="9">
        <f>'79Pivot'!G36</f>
        <v>1.20967742E-2</v>
      </c>
      <c r="H41" s="9">
        <f>'79Pivot'!H36</f>
        <v>1.1661807600000001E-2</v>
      </c>
      <c r="I41" s="9">
        <f>'79Pivot'!I36</f>
        <v>8.2041933000000008E-3</v>
      </c>
      <c r="J41" s="9">
        <f>'79Pivot'!J36</f>
        <v>6.7763794999999996E-3</v>
      </c>
      <c r="K41" s="9">
        <f>'79Pivot'!K36</f>
        <v>1.40280561E-2</v>
      </c>
      <c r="L41" s="9">
        <f>'79Pivot'!L36</f>
        <v>0</v>
      </c>
      <c r="M41" s="9">
        <f>'79Pivot'!M36</f>
        <v>1.3774104699999999E-2</v>
      </c>
      <c r="N41" s="9">
        <f>'79Pivot'!N36</f>
        <v>1.6129032299999999E-2</v>
      </c>
      <c r="O41" s="9">
        <f>'79Pivot'!O36</f>
        <v>0</v>
      </c>
      <c r="P41" s="46">
        <f>'79Pivot'!P36</f>
        <v>0</v>
      </c>
      <c r="Q41" s="18">
        <v>6</v>
      </c>
      <c r="R41" s="20">
        <f>7+5+2</f>
        <v>14</v>
      </c>
      <c r="S41" s="20">
        <f>11+7+4</f>
        <v>22</v>
      </c>
      <c r="T41" s="20">
        <v>19</v>
      </c>
      <c r="U41" s="20">
        <v>15</v>
      </c>
      <c r="V41" s="20">
        <f>17+5</f>
        <v>22</v>
      </c>
      <c r="W41" s="1">
        <v>21</v>
      </c>
      <c r="X41" s="61">
        <v>1438</v>
      </c>
      <c r="Y41" s="20">
        <f>12+7+2</f>
        <v>21</v>
      </c>
      <c r="Z41" s="61">
        <v>1496</v>
      </c>
      <c r="AA41" s="1">
        <f>11+6+1</f>
        <v>18</v>
      </c>
      <c r="AB41" s="66">
        <v>1406</v>
      </c>
      <c r="AC41" s="1">
        <v>18</v>
      </c>
      <c r="AD41" s="61">
        <v>1342</v>
      </c>
      <c r="AE41" s="1">
        <v>24</v>
      </c>
      <c r="AF41" s="61">
        <v>1458</v>
      </c>
      <c r="AG41" s="20">
        <v>19</v>
      </c>
      <c r="AH41" s="66">
        <v>1500</v>
      </c>
      <c r="AI41" s="26">
        <v>24</v>
      </c>
      <c r="AJ41" s="66">
        <v>1518</v>
      </c>
      <c r="AK41" s="1">
        <v>0</v>
      </c>
      <c r="AL41" s="61">
        <v>1599</v>
      </c>
    </row>
    <row r="42" spans="1:38" ht="12.75" customHeight="1">
      <c r="A42" s="1" t="s">
        <v>39</v>
      </c>
      <c r="B42" s="37" t="s">
        <v>31</v>
      </c>
      <c r="C42" s="9">
        <f>'79Pivot'!C37</f>
        <v>1.6401016399999999E-2</v>
      </c>
      <c r="D42" s="9">
        <f>'79Pivot'!D37</f>
        <v>1.9981834699999999E-2</v>
      </c>
      <c r="E42" s="9">
        <f>'79Pivot'!E37</f>
        <v>1.7315135499999999E-2</v>
      </c>
      <c r="F42" s="9">
        <f>'79Pivot'!F37</f>
        <v>8.1105990999999992E-3</v>
      </c>
      <c r="G42" s="9">
        <f>'79Pivot'!G37</f>
        <v>9.8795924999999993E-3</v>
      </c>
      <c r="H42" s="9">
        <f>'79Pivot'!H37</f>
        <v>1.39044944E-2</v>
      </c>
      <c r="I42" s="9">
        <f>'79Pivot'!I37</f>
        <v>1.7248138E-2</v>
      </c>
      <c r="J42" s="9">
        <f>'79Pivot'!J37</f>
        <v>2.1107524200000002E-2</v>
      </c>
      <c r="K42" s="9">
        <f>'79Pivot'!K37</f>
        <v>1.9806649400000001E-2</v>
      </c>
      <c r="L42" s="9">
        <f>'79Pivot'!L37</f>
        <v>2.14837194E-2</v>
      </c>
      <c r="M42" s="9">
        <f>'79Pivot'!M37</f>
        <v>1.43815916E-2</v>
      </c>
      <c r="N42" s="9">
        <f>'79Pivot'!N37</f>
        <v>1.49035652E-2</v>
      </c>
      <c r="O42" s="9">
        <f>'79Pivot'!O37</f>
        <v>1.1498056099999999E-2</v>
      </c>
      <c r="P42" s="46">
        <f>'79Pivot'!P37</f>
        <v>0</v>
      </c>
      <c r="Q42" s="27" t="s">
        <v>31</v>
      </c>
      <c r="R42" s="20">
        <f>122+1+35</f>
        <v>158</v>
      </c>
      <c r="S42" s="20">
        <f>149+41</f>
        <v>190</v>
      </c>
      <c r="T42" s="20">
        <f>159+56</f>
        <v>215</v>
      </c>
      <c r="U42" s="20">
        <f>62+9</f>
        <v>71</v>
      </c>
      <c r="V42" s="20">
        <f>94+26</f>
        <v>120</v>
      </c>
      <c r="W42" s="1">
        <f>160+21</f>
        <v>181</v>
      </c>
      <c r="X42" s="61">
        <v>8128</v>
      </c>
      <c r="Y42" s="20">
        <f>225+1+29</f>
        <v>255</v>
      </c>
      <c r="Z42" s="61">
        <v>8485</v>
      </c>
      <c r="AA42" s="1">
        <f>255+40</f>
        <v>295</v>
      </c>
      <c r="AB42" s="66">
        <v>8926</v>
      </c>
      <c r="AC42" s="1">
        <f>258+28</f>
        <v>286</v>
      </c>
      <c r="AD42" s="61">
        <f>9377-6</f>
        <v>9371</v>
      </c>
      <c r="AE42" s="1">
        <v>322</v>
      </c>
      <c r="AF42" s="61">
        <v>9656</v>
      </c>
      <c r="AG42" s="20">
        <v>219</v>
      </c>
      <c r="AH42" s="66">
        <v>10233</v>
      </c>
      <c r="AI42" s="26">
        <v>238</v>
      </c>
      <c r="AJ42" s="66">
        <v>11104</v>
      </c>
      <c r="AK42" s="1">
        <v>220</v>
      </c>
      <c r="AL42" s="61">
        <v>12843</v>
      </c>
    </row>
    <row r="43" spans="1:38" ht="12.75" customHeight="1">
      <c r="A43" s="19" t="s">
        <v>41</v>
      </c>
      <c r="B43" s="10" t="s">
        <v>31</v>
      </c>
      <c r="C43" s="9">
        <f>'79Pivot'!C38</f>
        <v>0</v>
      </c>
      <c r="D43" s="9">
        <f>'79Pivot'!D38</f>
        <v>0</v>
      </c>
      <c r="E43" s="9">
        <f>'79Pivot'!E38</f>
        <v>0</v>
      </c>
      <c r="F43" s="9">
        <f>'79Pivot'!F38</f>
        <v>0</v>
      </c>
      <c r="G43" s="9">
        <f>'79Pivot'!G38</f>
        <v>0</v>
      </c>
      <c r="H43" s="9">
        <f>'79Pivot'!H38</f>
        <v>3.1984649999999999E-4</v>
      </c>
      <c r="I43" s="9">
        <f>'79Pivot'!I38</f>
        <v>1.8015313E-3</v>
      </c>
      <c r="J43" s="9">
        <f>'79Pivot'!J38</f>
        <v>1.4863258E-3</v>
      </c>
      <c r="K43" s="9">
        <f>'79Pivot'!K38</f>
        <v>1.6159835E-3</v>
      </c>
      <c r="L43" s="9">
        <f>'79Pivot'!L38</f>
        <v>1.4609204E-3</v>
      </c>
      <c r="M43" s="9">
        <f>'79Pivot'!M38</f>
        <v>1.8691589E-3</v>
      </c>
      <c r="N43" s="9">
        <f>'79Pivot'!N38</f>
        <v>1.2278307999999999E-3</v>
      </c>
      <c r="O43" s="9">
        <f>'79Pivot'!O38</f>
        <v>7.643312E-4</v>
      </c>
      <c r="P43" s="46">
        <f>'79Pivot'!P38</f>
        <v>2.412545E-4</v>
      </c>
      <c r="Q43" s="25" t="s">
        <v>31</v>
      </c>
      <c r="R43" s="20">
        <v>1</v>
      </c>
      <c r="S43" s="20">
        <v>4</v>
      </c>
      <c r="T43" s="20">
        <v>4</v>
      </c>
      <c r="U43" s="20">
        <v>0</v>
      </c>
      <c r="V43" s="20">
        <v>1</v>
      </c>
      <c r="W43" s="1">
        <v>4</v>
      </c>
      <c r="X43" s="61">
        <v>6608</v>
      </c>
      <c r="Y43" s="20">
        <v>15</v>
      </c>
      <c r="Z43" s="61">
        <v>6695</v>
      </c>
      <c r="AA43" s="1">
        <v>13</v>
      </c>
      <c r="AB43" s="66">
        <f>6772-3</f>
        <v>6769</v>
      </c>
      <c r="AC43" s="1">
        <v>18</v>
      </c>
      <c r="AD43" s="61">
        <f>6870-3</f>
        <v>6867</v>
      </c>
      <c r="AE43" s="1">
        <v>20</v>
      </c>
      <c r="AF43" s="61">
        <v>6844</v>
      </c>
      <c r="AG43" s="20">
        <v>21</v>
      </c>
      <c r="AH43" s="66">
        <v>6933</v>
      </c>
      <c r="AI43" s="26">
        <v>19</v>
      </c>
      <c r="AJ43" s="66">
        <v>7334</v>
      </c>
      <c r="AK43" s="1">
        <v>88</v>
      </c>
      <c r="AL43" s="61">
        <v>7814</v>
      </c>
    </row>
    <row r="44" spans="1:38" ht="12.75" customHeight="1">
      <c r="A44" s="19" t="s">
        <v>42</v>
      </c>
      <c r="B44" s="8">
        <v>1.2416190712689347E-2</v>
      </c>
      <c r="C44" s="9">
        <f>'79Pivot'!C39</f>
        <v>3.8204393999999998E-3</v>
      </c>
      <c r="D44" s="9">
        <f>'79Pivot'!D39</f>
        <v>7.6154211999999999E-3</v>
      </c>
      <c r="E44" s="9">
        <f>'79Pivot'!E39</f>
        <v>1.02483248E-2</v>
      </c>
      <c r="F44" s="9">
        <f>'79Pivot'!F39</f>
        <v>0</v>
      </c>
      <c r="G44" s="9">
        <f>'79Pivot'!G39</f>
        <v>8.4680523000000008E-3</v>
      </c>
      <c r="H44" s="9">
        <f>'79Pivot'!H39</f>
        <v>7.6335878000000001E-3</v>
      </c>
      <c r="I44" s="9">
        <f>'79Pivot'!I39</f>
        <v>6.4935065000000002E-3</v>
      </c>
      <c r="J44" s="9">
        <f>'79Pivot'!J39</f>
        <v>1.0831586299999999E-2</v>
      </c>
      <c r="K44" s="9">
        <f>'79Pivot'!K39</f>
        <v>5.1451672E-3</v>
      </c>
      <c r="L44" s="9">
        <f>'79Pivot'!L39</f>
        <v>7.2189756000000001E-3</v>
      </c>
      <c r="M44" s="9">
        <f>'79Pivot'!M39</f>
        <v>4.2706964999999998E-3</v>
      </c>
      <c r="N44" s="9">
        <f>'79Pivot'!N39</f>
        <v>7.2213501000000001E-3</v>
      </c>
      <c r="O44" s="9">
        <f>'79Pivot'!O39</f>
        <v>4.0455120000000002E-3</v>
      </c>
      <c r="P44" s="46">
        <f>'79Pivot'!P39</f>
        <v>0</v>
      </c>
      <c r="Q44" s="18">
        <f>36+94+11+9</f>
        <v>150</v>
      </c>
      <c r="R44" s="20">
        <f>244+1+29</f>
        <v>274</v>
      </c>
      <c r="S44" s="20">
        <f>219+33</f>
        <v>252</v>
      </c>
      <c r="T44" s="20">
        <f>235+31</f>
        <v>266</v>
      </c>
      <c r="U44" s="20">
        <f>224+38</f>
        <v>262</v>
      </c>
      <c r="V44" s="20">
        <f>147+61</f>
        <v>208</v>
      </c>
      <c r="W44" s="1">
        <f>138+55</f>
        <v>193</v>
      </c>
      <c r="X44" s="61">
        <f>7289-4</f>
        <v>7285</v>
      </c>
      <c r="Y44" s="20">
        <f>181+0</f>
        <v>181</v>
      </c>
      <c r="Z44" s="61">
        <f>7141-780</f>
        <v>6361</v>
      </c>
      <c r="AA44" s="1">
        <v>183</v>
      </c>
      <c r="AB44" s="66">
        <f>6793-456</f>
        <v>6337</v>
      </c>
      <c r="AC44" s="1">
        <v>130</v>
      </c>
      <c r="AD44" s="61">
        <f>6441-310</f>
        <v>6131</v>
      </c>
      <c r="AE44" s="1">
        <v>146</v>
      </c>
      <c r="AF44" s="61">
        <v>5871</v>
      </c>
      <c r="AG44" s="20">
        <v>176</v>
      </c>
      <c r="AH44" s="66">
        <v>6249</v>
      </c>
      <c r="AI44" s="26">
        <v>167</v>
      </c>
      <c r="AJ44" s="66">
        <v>6461</v>
      </c>
      <c r="AK44" s="1">
        <v>70</v>
      </c>
      <c r="AL44" s="61">
        <v>7213</v>
      </c>
    </row>
    <row r="45" spans="1:38" ht="12.75" customHeight="1">
      <c r="A45" s="19" t="s">
        <v>43</v>
      </c>
      <c r="B45" s="8">
        <v>3.370501773948302E-2</v>
      </c>
      <c r="C45" s="9">
        <f>'79Pivot'!C40</f>
        <v>4.42422341E-2</v>
      </c>
      <c r="D45" s="9">
        <f>'79Pivot'!D40</f>
        <v>4.2852415599999999E-2</v>
      </c>
      <c r="E45" s="9">
        <f>'79Pivot'!E40</f>
        <v>4.72952554E-2</v>
      </c>
      <c r="F45" s="9">
        <f>'79Pivot'!F40</f>
        <v>5.0393195299999999E-2</v>
      </c>
      <c r="G45" s="9">
        <f>'79Pivot'!G40</f>
        <v>2.9229904399999999E-2</v>
      </c>
      <c r="H45" s="9">
        <f>'79Pivot'!H40</f>
        <v>2.581978E-4</v>
      </c>
      <c r="I45" s="9">
        <f>'79Pivot'!I40</f>
        <v>3.3712219100000003E-2</v>
      </c>
      <c r="J45" s="9">
        <f>'79Pivot'!J40</f>
        <v>3.23284681E-2</v>
      </c>
      <c r="K45" s="9">
        <f>'79Pivot'!K40</f>
        <v>3.6693548399999998E-2</v>
      </c>
      <c r="L45" s="9">
        <f>'79Pivot'!L40</f>
        <v>3.9909838199999999E-2</v>
      </c>
      <c r="M45" s="9">
        <f>'79Pivot'!M40</f>
        <v>3.7689471500000002E-2</v>
      </c>
      <c r="N45" s="9">
        <f>'79Pivot'!N40</f>
        <v>3.3121722300000003E-2</v>
      </c>
      <c r="O45" s="9">
        <f>'79Pivot'!O40</f>
        <v>2.8526721200000001E-2</v>
      </c>
      <c r="P45" s="46">
        <f>'79Pivot'!P40</f>
        <v>0</v>
      </c>
      <c r="Q45" s="18">
        <f>61+157+29+19</f>
        <v>266</v>
      </c>
      <c r="R45" s="20">
        <f>146+285</f>
        <v>431</v>
      </c>
      <c r="S45" s="20">
        <f>271+1+152</f>
        <v>424</v>
      </c>
      <c r="T45" s="20">
        <f>334+2+135</f>
        <v>471</v>
      </c>
      <c r="U45" s="20">
        <f>358+137</f>
        <v>495</v>
      </c>
      <c r="V45" s="20">
        <f>212+176</f>
        <v>388</v>
      </c>
      <c r="W45" s="1">
        <f>247+359</f>
        <v>606</v>
      </c>
      <c r="X45" s="61">
        <f>7610-37</f>
        <v>7573</v>
      </c>
      <c r="Y45" s="20">
        <f>289+2+10</f>
        <v>301</v>
      </c>
      <c r="Z45" s="61">
        <f>7581-1262</f>
        <v>6319</v>
      </c>
      <c r="AA45" s="1">
        <f>278+13</f>
        <v>291</v>
      </c>
      <c r="AB45" s="66">
        <f>7206-647</f>
        <v>6559</v>
      </c>
      <c r="AC45" s="1">
        <f>317+6</f>
        <v>323</v>
      </c>
      <c r="AD45" s="61">
        <f>7276-404</f>
        <v>6872</v>
      </c>
      <c r="AE45" s="1">
        <v>348</v>
      </c>
      <c r="AF45" s="61">
        <v>6862</v>
      </c>
      <c r="AG45" s="20">
        <v>321</v>
      </c>
      <c r="AH45" s="66">
        <v>7216</v>
      </c>
      <c r="AI45" s="26">
        <v>283</v>
      </c>
      <c r="AJ45" s="66">
        <v>6968</v>
      </c>
      <c r="AK45" s="1">
        <v>251</v>
      </c>
      <c r="AL45" s="61">
        <v>8205</v>
      </c>
    </row>
    <row r="46" spans="1:38" ht="12.75" customHeight="1">
      <c r="A46" s="19" t="s">
        <v>44</v>
      </c>
      <c r="B46" s="8">
        <v>3.6282675022676673E-3</v>
      </c>
      <c r="C46" s="9">
        <f>'79Pivot'!C41</f>
        <v>3.0517711199999999E-2</v>
      </c>
      <c r="D46" s="9">
        <f>'79Pivot'!D41</f>
        <v>2.71799117E-2</v>
      </c>
      <c r="E46" s="9">
        <f>'79Pivot'!E41</f>
        <v>3.04682041E-2</v>
      </c>
      <c r="F46" s="9">
        <f>'79Pivot'!F41</f>
        <v>3.3463563799999999E-2</v>
      </c>
      <c r="G46" s="9">
        <f>'79Pivot'!G41</f>
        <v>2.0584894900000001E-2</v>
      </c>
      <c r="H46" s="9">
        <f>'79Pivot'!H41</f>
        <v>0</v>
      </c>
      <c r="I46" s="9">
        <f>'79Pivot'!I41</f>
        <v>2.34385771E-2</v>
      </c>
      <c r="J46" s="9">
        <f>'79Pivot'!J41</f>
        <v>2.5232018599999999E-2</v>
      </c>
      <c r="K46" s="9">
        <f>'79Pivot'!K41</f>
        <v>1.8062146000000001E-2</v>
      </c>
      <c r="L46" s="9">
        <f>'79Pivot'!L41</f>
        <v>2.1794061900000002E-2</v>
      </c>
      <c r="M46" s="9">
        <f>'79Pivot'!M41</f>
        <v>2.46971842E-2</v>
      </c>
      <c r="N46" s="9">
        <f>'79Pivot'!N41</f>
        <v>2.2958795800000001E-2</v>
      </c>
      <c r="O46" s="9">
        <f>'79Pivot'!O41</f>
        <v>9.8873936000000006E-3</v>
      </c>
      <c r="P46" s="46">
        <f>'79Pivot'!P41</f>
        <v>0</v>
      </c>
      <c r="Q46" s="18">
        <v>44</v>
      </c>
      <c r="R46" s="20">
        <f>358+159</f>
        <v>517</v>
      </c>
      <c r="S46" s="20">
        <f>365+173</f>
        <v>538</v>
      </c>
      <c r="T46" s="20">
        <f>370+213</f>
        <v>583</v>
      </c>
      <c r="U46" s="20">
        <f>439+5+299</f>
        <v>743</v>
      </c>
      <c r="V46" s="20">
        <f>158+237</f>
        <v>395</v>
      </c>
      <c r="W46" s="1">
        <f>145+421</f>
        <v>566</v>
      </c>
      <c r="X46" s="61">
        <v>12604</v>
      </c>
      <c r="Y46" s="20">
        <f>195+16</f>
        <v>211</v>
      </c>
      <c r="Z46" s="61">
        <f>12733-1080</f>
        <v>11653</v>
      </c>
      <c r="AA46" s="1">
        <f>189+13</f>
        <v>202</v>
      </c>
      <c r="AB46" s="66">
        <f>12139-750</f>
        <v>11389</v>
      </c>
      <c r="AC46" s="1">
        <f>191+11+1</f>
        <v>203</v>
      </c>
      <c r="AD46" s="61">
        <f>11611-598</f>
        <v>11013</v>
      </c>
      <c r="AE46" s="1">
        <v>205</v>
      </c>
      <c r="AF46" s="61">
        <v>10317</v>
      </c>
      <c r="AG46" s="20">
        <v>199</v>
      </c>
      <c r="AH46" s="66">
        <v>10161</v>
      </c>
      <c r="AI46" s="26">
        <v>234</v>
      </c>
      <c r="AJ46" s="66">
        <v>9958</v>
      </c>
      <c r="AK46" s="1">
        <v>127</v>
      </c>
      <c r="AL46" s="61">
        <v>11187</v>
      </c>
    </row>
    <row r="47" spans="1:38" ht="12.75" customHeight="1">
      <c r="A47" s="19" t="s">
        <v>96</v>
      </c>
      <c r="B47" s="10" t="s">
        <v>31</v>
      </c>
      <c r="C47" s="9">
        <f>'79Pivot'!C42</f>
        <v>2.2077344799999999E-2</v>
      </c>
      <c r="D47" s="9">
        <f>'79Pivot'!D42</f>
        <v>2.2564415300000001E-2</v>
      </c>
      <c r="E47" s="9">
        <f>'79Pivot'!E42</f>
        <v>2.10170488E-2</v>
      </c>
      <c r="F47" s="9">
        <f>'79Pivot'!F42</f>
        <v>2.92482916E-2</v>
      </c>
      <c r="G47" s="9">
        <f>'79Pivot'!G42</f>
        <v>1.1083841299999999E-2</v>
      </c>
      <c r="H47" s="9">
        <f>'79Pivot'!H42</f>
        <v>1.553398E-4</v>
      </c>
      <c r="I47" s="9">
        <f>'79Pivot'!I42</f>
        <v>1.3028060399999999E-2</v>
      </c>
      <c r="J47" s="9">
        <f>'79Pivot'!J42</f>
        <v>1.2927203700000001E-2</v>
      </c>
      <c r="K47" s="9">
        <f>'79Pivot'!K42</f>
        <v>1.4396363000000001E-2</v>
      </c>
      <c r="L47" s="9">
        <f>'79Pivot'!L42</f>
        <v>1.58829864E-2</v>
      </c>
      <c r="M47" s="9">
        <f>'79Pivot'!M42</f>
        <v>1.5256188800000001E-2</v>
      </c>
      <c r="N47" s="9">
        <f>'79Pivot'!N42</f>
        <v>1.85699244E-2</v>
      </c>
      <c r="O47" s="9">
        <f>'79Pivot'!O42</f>
        <v>1.01656297E-2</v>
      </c>
      <c r="P47" s="46">
        <f>'79Pivot'!P42</f>
        <v>0</v>
      </c>
      <c r="Q47" s="11" t="s">
        <v>31</v>
      </c>
      <c r="R47" s="11" t="s">
        <v>31</v>
      </c>
      <c r="S47" s="11" t="s">
        <v>31</v>
      </c>
      <c r="T47" s="11" t="s">
        <v>31</v>
      </c>
      <c r="U47" s="11" t="s">
        <v>31</v>
      </c>
      <c r="V47" s="11" t="s">
        <v>31</v>
      </c>
      <c r="W47" s="11" t="s">
        <v>31</v>
      </c>
      <c r="X47" s="68" t="s">
        <v>31</v>
      </c>
      <c r="Y47" s="11" t="s">
        <v>31</v>
      </c>
      <c r="Z47" s="68" t="s">
        <v>31</v>
      </c>
      <c r="AA47" s="11" t="s">
        <v>31</v>
      </c>
      <c r="AB47" s="68" t="s">
        <v>31</v>
      </c>
      <c r="AC47" s="11" t="s">
        <v>31</v>
      </c>
      <c r="AD47" s="68" t="s">
        <v>31</v>
      </c>
      <c r="AE47" s="11" t="s">
        <v>31</v>
      </c>
      <c r="AF47" s="68"/>
      <c r="AG47" s="20">
        <v>9</v>
      </c>
      <c r="AH47" s="66">
        <v>910</v>
      </c>
      <c r="AI47" s="26">
        <v>5</v>
      </c>
      <c r="AJ47" s="66">
        <v>1146</v>
      </c>
      <c r="AK47" s="1">
        <v>4</v>
      </c>
      <c r="AL47" s="61">
        <v>1401</v>
      </c>
    </row>
    <row r="48" spans="1:38" ht="12.75" customHeight="1">
      <c r="A48" s="1" t="s">
        <v>40</v>
      </c>
      <c r="B48" s="8">
        <v>3.1486146095717885E-3</v>
      </c>
      <c r="C48" s="9">
        <f>'79Pivot'!C43</f>
        <v>0</v>
      </c>
      <c r="D48" s="9">
        <f>'79Pivot'!D43</f>
        <v>0</v>
      </c>
      <c r="E48" s="9">
        <f>'79Pivot'!E43</f>
        <v>0</v>
      </c>
      <c r="F48" s="9">
        <f>'79Pivot'!F43</f>
        <v>0</v>
      </c>
      <c r="G48" s="9">
        <f>'79Pivot'!G43</f>
        <v>0</v>
      </c>
      <c r="H48" s="9">
        <f>'79Pivot'!H43</f>
        <v>0</v>
      </c>
      <c r="I48" s="9">
        <f>'79Pivot'!I43</f>
        <v>0</v>
      </c>
      <c r="J48" s="9">
        <f>'79Pivot'!J43</f>
        <v>0</v>
      </c>
      <c r="K48" s="9">
        <f>'79Pivot'!K43</f>
        <v>0</v>
      </c>
      <c r="L48" s="9">
        <f>'79Pivot'!L43</f>
        <v>0</v>
      </c>
      <c r="M48" s="9">
        <f>'79Pivot'!M43</f>
        <v>8.0000000000000002E-3</v>
      </c>
      <c r="N48" s="9">
        <f>'79Pivot'!N43</f>
        <v>2.5751073000000002E-3</v>
      </c>
      <c r="O48" s="9">
        <f>'79Pivot'!O43</f>
        <v>1.4727541E-3</v>
      </c>
      <c r="P48" s="46">
        <f>'79Pivot'!P43</f>
        <v>0</v>
      </c>
      <c r="Q48" s="18">
        <v>5</v>
      </c>
      <c r="R48" s="20">
        <v>10</v>
      </c>
      <c r="S48" s="20">
        <v>20</v>
      </c>
      <c r="T48" s="20">
        <v>43</v>
      </c>
      <c r="U48" s="20">
        <f>31+33</f>
        <v>64</v>
      </c>
      <c r="V48" s="20">
        <f>42+42</f>
        <v>84</v>
      </c>
      <c r="W48" s="1">
        <v>80</v>
      </c>
      <c r="X48" s="61">
        <v>3290</v>
      </c>
      <c r="Y48" s="20">
        <f>34+13</f>
        <v>47</v>
      </c>
      <c r="Z48" s="61">
        <f>3391-7</f>
        <v>3384</v>
      </c>
      <c r="AA48" s="1">
        <f>45+7</f>
        <v>52</v>
      </c>
      <c r="AB48" s="66">
        <f>3062-16</f>
        <v>3046</v>
      </c>
      <c r="AC48" s="1">
        <v>29</v>
      </c>
      <c r="AD48" s="61">
        <f>2916-5</f>
        <v>2911</v>
      </c>
      <c r="AE48" s="1">
        <v>62</v>
      </c>
      <c r="AF48" s="61">
        <v>3109</v>
      </c>
      <c r="AG48" s="20">
        <v>21</v>
      </c>
      <c r="AH48" s="66">
        <v>3263</v>
      </c>
      <c r="AI48" s="26">
        <v>32</v>
      </c>
      <c r="AJ48" s="66">
        <v>3455</v>
      </c>
      <c r="AK48" s="1">
        <v>31</v>
      </c>
      <c r="AL48" s="61">
        <v>4208</v>
      </c>
    </row>
    <row r="49" spans="1:38" ht="12.75" customHeight="1">
      <c r="A49" s="1" t="s">
        <v>45</v>
      </c>
      <c r="B49" s="8">
        <v>1.1813759555246699E-2</v>
      </c>
      <c r="C49" s="9">
        <f>'79Pivot'!C44</f>
        <v>2.30434783E-2</v>
      </c>
      <c r="D49" s="9">
        <f>'79Pivot'!D44</f>
        <v>1.7202354E-2</v>
      </c>
      <c r="E49" s="9">
        <f>'79Pivot'!E44</f>
        <v>1.8371607500000001E-2</v>
      </c>
      <c r="F49" s="9">
        <f>'79Pivot'!F44</f>
        <v>1.8976897699999998E-2</v>
      </c>
      <c r="G49" s="9">
        <f>'79Pivot'!G44</f>
        <v>2.1621621600000002E-2</v>
      </c>
      <c r="H49" s="9">
        <f>'79Pivot'!H44</f>
        <v>2.4E-2</v>
      </c>
      <c r="I49" s="9">
        <f>'79Pivot'!I44</f>
        <v>2.5050100200000001E-2</v>
      </c>
      <c r="J49" s="9">
        <f>'79Pivot'!J44</f>
        <v>3.3204384300000001E-2</v>
      </c>
      <c r="K49" s="9">
        <f>'79Pivot'!K44</f>
        <v>3.7707948200000001E-2</v>
      </c>
      <c r="L49" s="9">
        <f>'79Pivot'!L44</f>
        <v>3.3960871199999999E-2</v>
      </c>
      <c r="M49" s="9">
        <f>'79Pivot'!M44</f>
        <v>3.4891598900000001E-2</v>
      </c>
      <c r="N49" s="9">
        <f>'79Pivot'!N44</f>
        <v>2.9156542899999999E-2</v>
      </c>
      <c r="O49" s="9">
        <f>'79Pivot'!O44</f>
        <v>2.9239766100000002E-2</v>
      </c>
      <c r="P49" s="46">
        <f>'79Pivot'!P44</f>
        <v>1.9532324600000001E-2</v>
      </c>
      <c r="Q49" s="18">
        <v>17</v>
      </c>
      <c r="R49" s="20">
        <v>70</v>
      </c>
      <c r="S49" s="20">
        <v>56</v>
      </c>
      <c r="T49" s="20">
        <v>49</v>
      </c>
      <c r="U49" s="20">
        <v>51</v>
      </c>
      <c r="V49" s="20">
        <f>62+5</f>
        <v>67</v>
      </c>
      <c r="W49" s="1">
        <v>70</v>
      </c>
      <c r="X49" s="61">
        <v>2839</v>
      </c>
      <c r="Y49" s="20">
        <f>83+13</f>
        <v>96</v>
      </c>
      <c r="Z49" s="61">
        <v>3213</v>
      </c>
      <c r="AA49" s="1">
        <f>113+16</f>
        <v>129</v>
      </c>
      <c r="AB49" s="66">
        <v>3273</v>
      </c>
      <c r="AC49" s="1">
        <f>111+13</f>
        <v>124</v>
      </c>
      <c r="AD49" s="61">
        <v>2935</v>
      </c>
      <c r="AE49" s="1">
        <v>111</v>
      </c>
      <c r="AF49" s="61">
        <v>2996</v>
      </c>
      <c r="AG49" s="20">
        <v>124</v>
      </c>
      <c r="AH49" s="66">
        <v>3185</v>
      </c>
      <c r="AI49" s="26">
        <v>101</v>
      </c>
      <c r="AJ49" s="66">
        <v>3113</v>
      </c>
      <c r="AK49" s="1">
        <v>119</v>
      </c>
      <c r="AL49" s="61">
        <v>3527</v>
      </c>
    </row>
    <row r="50" spans="1:38" ht="12.75" customHeight="1">
      <c r="A50" s="19" t="s">
        <v>23</v>
      </c>
      <c r="B50" s="8">
        <v>1.9651536153562719E-2</v>
      </c>
      <c r="C50" s="9">
        <f>'79Pivot'!C23</f>
        <v>1.8419065799999999E-2</v>
      </c>
      <c r="D50" s="9">
        <f>'79Pivot'!D23</f>
        <v>1.78412771E-2</v>
      </c>
      <c r="E50" s="9">
        <f>'79Pivot'!E23</f>
        <v>1.8234423400000001E-2</v>
      </c>
      <c r="F50" s="9">
        <f>'79Pivot'!F23</f>
        <v>1.7513208299999999E-2</v>
      </c>
      <c r="G50" s="9">
        <f>'79Pivot'!G23</f>
        <v>1.27404062E-2</v>
      </c>
      <c r="H50" s="9">
        <f>'79Pivot'!H23</f>
        <v>6.4119195E-3</v>
      </c>
      <c r="I50" s="9">
        <f>'79Pivot'!I23</f>
        <v>1.4184397200000001E-2</v>
      </c>
      <c r="J50" s="9">
        <f>'79Pivot'!J23</f>
        <v>1.5658675E-2</v>
      </c>
      <c r="K50" s="9">
        <f>'79Pivot'!K23</f>
        <v>1.56339978E-2</v>
      </c>
      <c r="L50" s="9">
        <f>'79Pivot'!L23</f>
        <v>1.6628510900000001E-2</v>
      </c>
      <c r="M50" s="9">
        <f>'79Pivot'!M23</f>
        <v>1.5493512500000001E-2</v>
      </c>
      <c r="N50" s="9">
        <f>'79Pivot'!N23</f>
        <v>1.6080390399999998E-2</v>
      </c>
      <c r="O50" s="9">
        <f>'79Pivot'!O23</f>
        <v>1.26439812E-2</v>
      </c>
      <c r="P50" s="46">
        <f>'79Pivot'!P23</f>
        <v>4.0171147999999999E-3</v>
      </c>
      <c r="Q50" s="18">
        <f t="shared" ref="Q50:V50" si="2">SUM(Q28:Q49)</f>
        <v>1120</v>
      </c>
      <c r="R50" s="20">
        <f t="shared" si="2"/>
        <v>2138</v>
      </c>
      <c r="S50" s="20">
        <f t="shared" si="2"/>
        <v>2259</v>
      </c>
      <c r="T50" s="20">
        <f t="shared" si="2"/>
        <v>2421</v>
      </c>
      <c r="U50" s="20">
        <f t="shared" si="2"/>
        <v>2416</v>
      </c>
      <c r="V50" s="20">
        <f t="shared" si="2"/>
        <v>1974</v>
      </c>
      <c r="W50" s="20">
        <f t="shared" ref="W50:AB50" si="3">SUM(W28:W49)</f>
        <v>2407</v>
      </c>
      <c r="X50" s="61">
        <f t="shared" si="3"/>
        <v>86069</v>
      </c>
      <c r="Y50" s="20">
        <f t="shared" si="3"/>
        <v>1567</v>
      </c>
      <c r="Z50" s="66">
        <f t="shared" si="3"/>
        <v>83619</v>
      </c>
      <c r="AA50" s="20">
        <f t="shared" si="3"/>
        <v>1696</v>
      </c>
      <c r="AB50" s="66">
        <f t="shared" si="3"/>
        <v>83969</v>
      </c>
      <c r="AC50" s="20">
        <f t="shared" ref="AC50:AI50" si="4">SUM(AC28:AC49)</f>
        <v>1662</v>
      </c>
      <c r="AD50" s="66">
        <f t="shared" si="4"/>
        <v>84877</v>
      </c>
      <c r="AE50" s="20">
        <f t="shared" si="4"/>
        <v>1799</v>
      </c>
      <c r="AF50" s="66">
        <f t="shared" si="4"/>
        <v>84063</v>
      </c>
      <c r="AG50" s="20">
        <f t="shared" si="4"/>
        <v>1656</v>
      </c>
      <c r="AH50" s="66">
        <f t="shared" si="4"/>
        <v>88640</v>
      </c>
      <c r="AI50" s="26">
        <f t="shared" si="4"/>
        <v>1765</v>
      </c>
      <c r="AJ50" s="66">
        <f t="shared" ref="AJ50:AL50" si="5">SUM(AJ28:AJ49)</f>
        <v>88504</v>
      </c>
      <c r="AK50" s="66">
        <f t="shared" si="5"/>
        <v>1498</v>
      </c>
      <c r="AL50" s="66">
        <f t="shared" si="5"/>
        <v>99753</v>
      </c>
    </row>
    <row r="51" spans="1:38" ht="12.75" customHeight="1"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46"/>
      <c r="Q51" s="18"/>
      <c r="R51" s="20"/>
      <c r="S51" s="20"/>
      <c r="T51" s="20"/>
      <c r="U51" s="20"/>
      <c r="V51" s="20"/>
    </row>
    <row r="52" spans="1:38" ht="12.75" customHeight="1" thickBot="1">
      <c r="A52" s="50" t="s">
        <v>46</v>
      </c>
      <c r="B52" s="13">
        <v>8.3114295265500363E-2</v>
      </c>
      <c r="C52" s="51">
        <f>'79Pivot'!C6</f>
        <v>6.0061759499999999E-2</v>
      </c>
      <c r="D52" s="51">
        <f>'79Pivot'!D6</f>
        <v>6.20182674E-2</v>
      </c>
      <c r="E52" s="51">
        <f>'79Pivot'!E6</f>
        <v>6.2000810599999998E-2</v>
      </c>
      <c r="F52" s="51">
        <f>'79Pivot'!F6</f>
        <v>6.2654445899999994E-2</v>
      </c>
      <c r="G52" s="51">
        <f>'79Pivot'!G6</f>
        <v>5.8191920699999997E-2</v>
      </c>
      <c r="H52" s="51">
        <f>'79Pivot'!H6</f>
        <v>5.6377115899999997E-2</v>
      </c>
      <c r="I52" s="51">
        <f>'79Pivot'!I6</f>
        <v>6.1101582500000001E-2</v>
      </c>
      <c r="J52" s="51">
        <f>'79Pivot'!J6</f>
        <v>6.2627095499999993E-2</v>
      </c>
      <c r="K52" s="51">
        <f>'79Pivot'!K6</f>
        <v>6.4440649399999994E-2</v>
      </c>
      <c r="L52" s="51">
        <f>'79Pivot'!L6</f>
        <v>6.54996895E-2</v>
      </c>
      <c r="M52" s="51">
        <f>'79Pivot'!M6</f>
        <v>6.4944536999999997E-2</v>
      </c>
      <c r="N52" s="51">
        <f>'79Pivot'!N6</f>
        <v>6.4330984199999997E-2</v>
      </c>
      <c r="O52" s="51">
        <f>'79Pivot'!O6</f>
        <v>6.4387461600000001E-2</v>
      </c>
      <c r="P52" s="48">
        <f>'79Pivot'!P6</f>
        <v>6.6338361200000001E-2</v>
      </c>
      <c r="Q52" s="52">
        <f t="shared" ref="Q52:AL52" si="6">SUM(Q50+Q24)</f>
        <v>12680</v>
      </c>
      <c r="R52" s="53">
        <f t="shared" si="6"/>
        <v>16519</v>
      </c>
      <c r="S52" s="53">
        <f t="shared" si="6"/>
        <v>16806</v>
      </c>
      <c r="T52" s="53">
        <f t="shared" si="6"/>
        <v>17242</v>
      </c>
      <c r="U52" s="53">
        <f t="shared" si="6"/>
        <v>17558</v>
      </c>
      <c r="V52" s="53">
        <f t="shared" si="6"/>
        <v>17244</v>
      </c>
      <c r="W52" s="53">
        <f t="shared" si="6"/>
        <v>18150</v>
      </c>
      <c r="X52" s="62">
        <f t="shared" si="6"/>
        <v>190493</v>
      </c>
      <c r="Y52" s="53">
        <f t="shared" si="6"/>
        <v>17069</v>
      </c>
      <c r="Z52" s="69">
        <f t="shared" si="6"/>
        <v>187959</v>
      </c>
      <c r="AA52" s="53">
        <f t="shared" si="6"/>
        <v>17007</v>
      </c>
      <c r="AB52" s="69">
        <f t="shared" si="6"/>
        <v>188160</v>
      </c>
      <c r="AC52" s="53">
        <f t="shared" si="6"/>
        <v>17345</v>
      </c>
      <c r="AD52" s="69">
        <f t="shared" si="6"/>
        <v>190855</v>
      </c>
      <c r="AE52" s="53">
        <f t="shared" si="6"/>
        <v>18220</v>
      </c>
      <c r="AF52" s="69">
        <f t="shared" si="6"/>
        <v>191960</v>
      </c>
      <c r="AG52" s="53">
        <f t="shared" si="6"/>
        <v>18196</v>
      </c>
      <c r="AH52" s="69">
        <f t="shared" si="6"/>
        <v>196085</v>
      </c>
      <c r="AI52" s="59">
        <f t="shared" si="6"/>
        <v>18334</v>
      </c>
      <c r="AJ52" s="69">
        <f t="shared" si="6"/>
        <v>196665</v>
      </c>
      <c r="AK52" s="50">
        <f t="shared" si="6"/>
        <v>19593</v>
      </c>
      <c r="AL52" s="62">
        <f t="shared" si="6"/>
        <v>213201</v>
      </c>
    </row>
    <row r="53" spans="1:38" ht="12.75" customHeight="1" thickTop="1">
      <c r="A53" s="1" t="s">
        <v>47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20"/>
      <c r="R53" s="20"/>
      <c r="S53" s="20"/>
      <c r="T53" s="20"/>
      <c r="U53" s="20"/>
      <c r="V53" s="20"/>
    </row>
    <row r="54" spans="1:38" ht="12.75" customHeight="1">
      <c r="A54" s="19" t="s">
        <v>48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20"/>
      <c r="R54" s="20"/>
      <c r="S54" s="20"/>
      <c r="T54" s="20"/>
      <c r="U54" s="20"/>
      <c r="V54" s="20"/>
    </row>
    <row r="55" spans="1:38" ht="23.25" customHeight="1">
      <c r="A55" s="94" t="s">
        <v>100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89"/>
      <c r="R55" s="20"/>
      <c r="S55" s="20"/>
      <c r="T55" s="20"/>
      <c r="U55" s="20"/>
      <c r="V55" s="20"/>
    </row>
    <row r="56" spans="1:38" ht="12.75" customHeight="1">
      <c r="A56" s="19" t="s">
        <v>89</v>
      </c>
      <c r="B56" s="14"/>
      <c r="R56" s="20"/>
      <c r="S56" s="20"/>
      <c r="T56" s="20"/>
      <c r="U56" s="20"/>
      <c r="V56" s="20"/>
    </row>
    <row r="57" spans="1:38" ht="12.75" customHeight="1">
      <c r="A57" s="21"/>
      <c r="B57" s="14"/>
      <c r="R57" s="20"/>
      <c r="S57" s="20"/>
      <c r="T57" s="20"/>
      <c r="U57" s="20"/>
      <c r="V57" s="20"/>
    </row>
    <row r="58" spans="1:38" ht="12.75" customHeight="1">
      <c r="A58" s="19"/>
      <c r="B58" s="14"/>
      <c r="R58" s="20"/>
      <c r="S58" s="20"/>
      <c r="T58" s="20"/>
      <c r="U58" s="20"/>
      <c r="V58" s="20"/>
    </row>
    <row r="59" spans="1:38" ht="12.75" customHeight="1">
      <c r="A59" s="19" t="s">
        <v>88</v>
      </c>
      <c r="R59" s="20"/>
      <c r="S59" s="20"/>
      <c r="T59" s="20"/>
      <c r="U59" s="20"/>
      <c r="V59" s="20"/>
    </row>
    <row r="60" spans="1:38" ht="12.75" customHeight="1">
      <c r="A60" s="19" t="s">
        <v>50</v>
      </c>
      <c r="R60" s="20"/>
      <c r="S60" s="20"/>
      <c r="T60" s="20"/>
      <c r="U60" s="20"/>
      <c r="V60" s="20"/>
    </row>
    <row r="61" spans="1:38" ht="12.75" customHeight="1">
      <c r="A61" s="19" t="s">
        <v>143</v>
      </c>
      <c r="R61" s="20"/>
      <c r="S61" s="20"/>
      <c r="T61" s="20"/>
      <c r="U61" s="20"/>
      <c r="V61" s="20"/>
    </row>
    <row r="62" spans="1:38" ht="12.75" customHeight="1" thickBo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2"/>
      <c r="S62" s="52"/>
      <c r="T62" s="52"/>
      <c r="U62" s="52"/>
      <c r="V62" s="52"/>
      <c r="W62" s="50"/>
      <c r="X62" s="62"/>
      <c r="Y62" s="53"/>
      <c r="Z62" s="62"/>
      <c r="AA62" s="50"/>
      <c r="AB62" s="69"/>
      <c r="AC62" s="50"/>
      <c r="AD62" s="62"/>
      <c r="AE62" s="50"/>
      <c r="AF62" s="62"/>
      <c r="AG62" s="50"/>
      <c r="AH62" s="62"/>
      <c r="AI62" s="56"/>
      <c r="AJ62" s="62"/>
      <c r="AK62" s="50"/>
      <c r="AL62" s="62"/>
    </row>
    <row r="63" spans="1:38" ht="12.75" customHeight="1" thickTop="1">
      <c r="A63" s="2"/>
      <c r="B63" s="91" t="s">
        <v>99</v>
      </c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3"/>
      <c r="Q63" s="3" t="s">
        <v>1</v>
      </c>
      <c r="R63" s="3"/>
      <c r="S63" s="3"/>
      <c r="T63" s="3"/>
      <c r="U63" s="3"/>
      <c r="V63" s="3"/>
      <c r="W63" s="15"/>
      <c r="X63" s="63"/>
      <c r="Y63" s="22"/>
      <c r="Z63" s="63"/>
      <c r="AA63" s="15"/>
      <c r="AB63" s="74"/>
      <c r="AC63" s="15"/>
      <c r="AD63" s="63"/>
      <c r="AE63" s="15"/>
      <c r="AF63" s="63"/>
      <c r="AI63" s="57"/>
    </row>
    <row r="64" spans="1:38" ht="12.75" customHeight="1">
      <c r="A64" s="2"/>
      <c r="B64" s="35" t="s">
        <v>2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42"/>
      <c r="Q64" s="3" t="s">
        <v>3</v>
      </c>
      <c r="R64" s="3"/>
      <c r="S64" s="3"/>
      <c r="T64" s="3"/>
      <c r="U64" s="3"/>
      <c r="V64" s="3"/>
      <c r="W64" s="15"/>
      <c r="X64" s="63"/>
      <c r="Y64" s="22"/>
      <c r="Z64" s="63"/>
      <c r="AA64" s="15"/>
      <c r="AB64" s="74"/>
      <c r="AC64" s="15"/>
      <c r="AD64" s="63"/>
      <c r="AE64" s="15"/>
      <c r="AF64" s="63"/>
    </row>
    <row r="65" spans="1:38" ht="12.75" customHeight="1">
      <c r="A65" s="2"/>
      <c r="B65" s="36" t="s">
        <v>4</v>
      </c>
      <c r="C65" s="4" t="s">
        <v>4</v>
      </c>
      <c r="D65" s="4" t="s">
        <v>4</v>
      </c>
      <c r="E65" s="4" t="s">
        <v>4</v>
      </c>
      <c r="F65" s="4" t="s">
        <v>4</v>
      </c>
      <c r="G65" s="4" t="s">
        <v>4</v>
      </c>
      <c r="H65" s="4" t="s">
        <v>4</v>
      </c>
      <c r="I65" s="4" t="s">
        <v>4</v>
      </c>
      <c r="J65" s="4" t="s">
        <v>4</v>
      </c>
      <c r="K65" s="4" t="s">
        <v>90</v>
      </c>
      <c r="L65" s="4" t="s">
        <v>90</v>
      </c>
      <c r="M65" s="4" t="s">
        <v>90</v>
      </c>
      <c r="N65" s="4" t="s">
        <v>4</v>
      </c>
      <c r="O65" s="4" t="s">
        <v>4</v>
      </c>
      <c r="P65" s="43" t="s">
        <v>4</v>
      </c>
      <c r="Q65" s="4" t="s">
        <v>4</v>
      </c>
      <c r="R65" s="16" t="s">
        <v>4</v>
      </c>
      <c r="S65" s="16" t="s">
        <v>4</v>
      </c>
      <c r="T65" s="16" t="s">
        <v>4</v>
      </c>
      <c r="U65" s="16" t="s">
        <v>4</v>
      </c>
      <c r="V65" s="16" t="s">
        <v>4</v>
      </c>
      <c r="W65" s="16" t="s">
        <v>85</v>
      </c>
      <c r="X65" s="64" t="s">
        <v>85</v>
      </c>
      <c r="Y65" s="4" t="s">
        <v>4</v>
      </c>
      <c r="AA65" s="4" t="s">
        <v>4</v>
      </c>
      <c r="AC65" s="16" t="s">
        <v>4</v>
      </c>
      <c r="AD65" s="64" t="s">
        <v>4</v>
      </c>
      <c r="AE65" s="16" t="s">
        <v>4</v>
      </c>
      <c r="AF65" s="64"/>
      <c r="AG65" s="16" t="s">
        <v>4</v>
      </c>
      <c r="AI65" s="4" t="s">
        <v>4</v>
      </c>
      <c r="AJ65" s="77"/>
      <c r="AL65" s="87" t="s">
        <v>4</v>
      </c>
    </row>
    <row r="66" spans="1:38" ht="12.75" customHeight="1">
      <c r="A66" s="2"/>
      <c r="B66" s="36" t="s">
        <v>5</v>
      </c>
      <c r="C66" s="4" t="s">
        <v>6</v>
      </c>
      <c r="D66" s="5" t="s">
        <v>7</v>
      </c>
      <c r="E66" s="5" t="s">
        <v>8</v>
      </c>
      <c r="F66" s="5" t="s">
        <v>9</v>
      </c>
      <c r="G66" s="5" t="s">
        <v>10</v>
      </c>
      <c r="H66" s="5">
        <v>2002</v>
      </c>
      <c r="I66" s="5">
        <v>2003</v>
      </c>
      <c r="J66" s="5">
        <v>2004</v>
      </c>
      <c r="K66" s="5">
        <v>2005</v>
      </c>
      <c r="L66" s="5">
        <v>2006</v>
      </c>
      <c r="M66" s="5">
        <v>2007</v>
      </c>
      <c r="N66" s="5">
        <v>2008</v>
      </c>
      <c r="O66" s="5">
        <v>2009</v>
      </c>
      <c r="P66" s="44">
        <v>2010</v>
      </c>
      <c r="Q66" s="4" t="s">
        <v>5</v>
      </c>
      <c r="R66" s="4" t="s">
        <v>6</v>
      </c>
      <c r="S66" s="5" t="s">
        <v>7</v>
      </c>
      <c r="T66" s="5" t="s">
        <v>8</v>
      </c>
      <c r="U66" s="5">
        <v>2000</v>
      </c>
      <c r="V66" s="5">
        <v>2001</v>
      </c>
      <c r="W66" s="16">
        <v>2002</v>
      </c>
      <c r="X66" s="64">
        <v>2002</v>
      </c>
      <c r="Y66" s="5">
        <v>2003</v>
      </c>
      <c r="AA66" s="5">
        <v>2004</v>
      </c>
      <c r="AC66" s="16">
        <v>2005</v>
      </c>
      <c r="AD66" s="64">
        <v>2006</v>
      </c>
      <c r="AE66" s="16">
        <v>2006</v>
      </c>
      <c r="AF66" s="64"/>
      <c r="AG66" s="16">
        <v>2007</v>
      </c>
      <c r="AI66" s="5">
        <v>2008</v>
      </c>
      <c r="AJ66" s="78"/>
      <c r="AL66" s="87">
        <v>2009</v>
      </c>
    </row>
    <row r="67" spans="1:38" ht="12.75" customHeight="1">
      <c r="A67" s="2"/>
      <c r="B67" s="7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45"/>
      <c r="Q67" s="2"/>
      <c r="R67" s="20"/>
      <c r="S67" s="20"/>
      <c r="T67" s="20"/>
      <c r="U67" s="20"/>
      <c r="V67" s="20"/>
    </row>
    <row r="68" spans="1:38" ht="45.95" customHeight="1">
      <c r="A68" s="23" t="s">
        <v>51</v>
      </c>
      <c r="B68" s="8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5"/>
      <c r="Q68" s="2"/>
      <c r="R68" s="20"/>
      <c r="S68" s="20"/>
      <c r="T68" s="20"/>
      <c r="U68" s="20"/>
      <c r="V68" s="20"/>
    </row>
    <row r="69" spans="1:38" ht="12.75" customHeight="1">
      <c r="A69" s="2"/>
      <c r="B69" s="8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45"/>
      <c r="Q69" s="2"/>
      <c r="R69" s="20"/>
      <c r="S69" s="20"/>
      <c r="T69" s="20"/>
      <c r="U69" s="20"/>
      <c r="V69" s="20"/>
    </row>
    <row r="70" spans="1:38" ht="12.75" customHeight="1">
      <c r="A70" s="2" t="s">
        <v>52</v>
      </c>
      <c r="B70" s="8">
        <v>0.72484599589322385</v>
      </c>
      <c r="C70" s="9">
        <v>0.35492957746478876</v>
      </c>
      <c r="D70" s="9">
        <v>0.30914231856738927</v>
      </c>
      <c r="E70" s="9">
        <v>0.31515637530072171</v>
      </c>
      <c r="F70" s="9">
        <v>0.3232413178984862</v>
      </c>
      <c r="G70" s="9">
        <v>0.30040485829959512</v>
      </c>
      <c r="H70" s="9">
        <f>+W70/X70</f>
        <v>0.29288025889967639</v>
      </c>
      <c r="I70" s="9">
        <f t="shared" ref="I70:I78" si="7">+Y70/Z70</f>
        <v>0.34126984126984128</v>
      </c>
      <c r="J70" s="9">
        <f>+AA70/AB70</f>
        <v>0.5423728813559322</v>
      </c>
      <c r="K70" s="9">
        <f t="shared" ref="K70:K75" si="8">+AC70/AD70</f>
        <v>0.35502471169686983</v>
      </c>
      <c r="L70" s="9">
        <f>'80pivot'!B9</f>
        <v>0.285840708</v>
      </c>
      <c r="M70" s="9">
        <f>'80pivot'!C9</f>
        <v>0.30176991149999999</v>
      </c>
      <c r="N70" s="9">
        <f>'80pivot'!D9</f>
        <v>0.286067601</v>
      </c>
      <c r="O70" s="9">
        <f>'80pivot'!E9</f>
        <v>0.28323197220000002</v>
      </c>
      <c r="P70" s="46">
        <f>'80pivot'!F9</f>
        <v>0.28396072010000001</v>
      </c>
      <c r="Q70" s="18">
        <v>706</v>
      </c>
      <c r="R70" s="20">
        <f>314+64</f>
        <v>378</v>
      </c>
      <c r="S70" s="20">
        <f>275+1+52</f>
        <v>328</v>
      </c>
      <c r="T70" s="20">
        <f>341+52</f>
        <v>393</v>
      </c>
      <c r="U70" s="20">
        <f>304+59</f>
        <v>363</v>
      </c>
      <c r="V70" s="20">
        <f>301+70</f>
        <v>371</v>
      </c>
      <c r="W70" s="20">
        <f>308+54</f>
        <v>362</v>
      </c>
      <c r="X70" s="61">
        <v>1236</v>
      </c>
      <c r="Y70" s="20">
        <f>366+64</f>
        <v>430</v>
      </c>
      <c r="Z70" s="61">
        <v>1260</v>
      </c>
      <c r="AA70" s="20">
        <f>762+70</f>
        <v>832</v>
      </c>
      <c r="AB70" s="66">
        <f>1579-45</f>
        <v>1534</v>
      </c>
      <c r="AC70" s="1">
        <f>366+65</f>
        <v>431</v>
      </c>
      <c r="AD70" s="61">
        <v>1214</v>
      </c>
      <c r="AE70" s="20">
        <v>383</v>
      </c>
      <c r="AF70" s="66">
        <v>1130</v>
      </c>
      <c r="AG70" s="20">
        <v>434</v>
      </c>
      <c r="AH70" s="61">
        <v>1130</v>
      </c>
      <c r="AI70" s="55">
        <v>452</v>
      </c>
      <c r="AJ70" s="66">
        <v>1213</v>
      </c>
      <c r="AK70" s="1">
        <v>412</v>
      </c>
      <c r="AL70" s="61">
        <v>1151</v>
      </c>
    </row>
    <row r="71" spans="1:38" ht="12.75" customHeight="1">
      <c r="A71" s="2" t="s">
        <v>173</v>
      </c>
      <c r="B71" s="8"/>
      <c r="C71" s="9"/>
      <c r="D71" s="9"/>
      <c r="E71" s="9"/>
      <c r="F71" s="9"/>
      <c r="G71" s="9"/>
      <c r="H71" s="9"/>
      <c r="I71" s="9"/>
      <c r="J71" s="9"/>
      <c r="K71" s="9"/>
      <c r="L71" s="9">
        <f>'80pivot'!B10</f>
        <v>1.2931034E-3</v>
      </c>
      <c r="M71" s="9">
        <f>'80pivot'!C10</f>
        <v>4.2194090000000002E-4</v>
      </c>
      <c r="N71" s="9">
        <f>'80pivot'!D10</f>
        <v>0</v>
      </c>
      <c r="O71" s="9">
        <f>'80pivot'!E10</f>
        <v>9.8953377699999998E-2</v>
      </c>
      <c r="P71" s="46">
        <f>'80pivot'!F10</f>
        <v>6.6864784999999998E-3</v>
      </c>
      <c r="Q71" s="18"/>
      <c r="R71" s="20"/>
      <c r="S71" s="20"/>
      <c r="T71" s="20"/>
      <c r="U71" s="20"/>
      <c r="V71" s="20"/>
      <c r="W71" s="20"/>
      <c r="AA71" s="20"/>
      <c r="AE71" s="20"/>
      <c r="AF71" s="66"/>
      <c r="AG71" s="20"/>
      <c r="AJ71" s="66"/>
    </row>
    <row r="72" spans="1:38" ht="12.75" customHeight="1">
      <c r="A72" s="2" t="s">
        <v>94</v>
      </c>
      <c r="B72" s="8">
        <v>0.12071535022354694</v>
      </c>
      <c r="C72" s="9">
        <v>6.9952305246422888E-2</v>
      </c>
      <c r="D72" s="9">
        <v>7.8669910786699104E-2</v>
      </c>
      <c r="E72" s="11" t="s">
        <v>29</v>
      </c>
      <c r="F72" s="9">
        <v>8.1266039349871685E-2</v>
      </c>
      <c r="G72" s="9">
        <v>7.2891072891072897E-2</v>
      </c>
      <c r="H72" s="9">
        <f t="shared" ref="H72:H88" si="9">+W72/X72</f>
        <v>9.9134539732494101E-2</v>
      </c>
      <c r="I72" s="9">
        <f t="shared" si="7"/>
        <v>5.0324675324675328E-2</v>
      </c>
      <c r="J72" s="9">
        <f t="shared" ref="J72:J82" si="10">+AA72/AB72</f>
        <v>4.5614035087719301E-2</v>
      </c>
      <c r="K72" s="9">
        <f t="shared" si="8"/>
        <v>3.3081625314635023E-2</v>
      </c>
      <c r="L72" s="9">
        <f>'80pivot'!B11</f>
        <v>9.3935790699999994E-2</v>
      </c>
      <c r="M72" s="9">
        <f>'80pivot'!C11</f>
        <v>8.9935760200000006E-2</v>
      </c>
      <c r="N72" s="9">
        <f>'80pivot'!D11</f>
        <v>0.1020019066</v>
      </c>
      <c r="O72" s="9">
        <f>'80pivot'!E11</f>
        <v>1.08243131E-2</v>
      </c>
      <c r="P72" s="46">
        <f>'80pivot'!F11</f>
        <v>0.1088435374</v>
      </c>
      <c r="Q72" s="18">
        <v>81</v>
      </c>
      <c r="R72" s="20">
        <f>73+15</f>
        <v>88</v>
      </c>
      <c r="S72" s="20">
        <f>85+12</f>
        <v>97</v>
      </c>
      <c r="T72" s="26" t="s">
        <v>29</v>
      </c>
      <c r="U72" s="26">
        <f>78+17</f>
        <v>95</v>
      </c>
      <c r="V72" s="26">
        <f>72+17</f>
        <v>89</v>
      </c>
      <c r="W72" s="20">
        <f>82+44</f>
        <v>126</v>
      </c>
      <c r="X72" s="61">
        <f>1287-16</f>
        <v>1271</v>
      </c>
      <c r="Y72" s="20">
        <f>68+25</f>
        <v>93</v>
      </c>
      <c r="Z72" s="61">
        <f>1883-35</f>
        <v>1848</v>
      </c>
      <c r="AA72" s="20">
        <f>71+20</f>
        <v>91</v>
      </c>
      <c r="AB72" s="66">
        <f>2026-31</f>
        <v>1995</v>
      </c>
      <c r="AC72" s="1">
        <v>92</v>
      </c>
      <c r="AD72" s="61">
        <f>2800-19</f>
        <v>2781</v>
      </c>
      <c r="AE72" s="20">
        <v>86</v>
      </c>
      <c r="AF72" s="66">
        <v>841</v>
      </c>
      <c r="AG72" s="20">
        <v>95</v>
      </c>
      <c r="AH72" s="61">
        <v>934</v>
      </c>
      <c r="AI72" s="55">
        <v>119</v>
      </c>
      <c r="AJ72" s="66">
        <v>1049</v>
      </c>
      <c r="AK72" s="1">
        <v>132</v>
      </c>
      <c r="AL72" s="61">
        <v>1051</v>
      </c>
    </row>
    <row r="73" spans="1:38" ht="12.75" customHeight="1">
      <c r="A73" s="2" t="s">
        <v>53</v>
      </c>
      <c r="B73" s="8">
        <v>0.22691807542262679</v>
      </c>
      <c r="C73" s="9">
        <v>0.33398692810457514</v>
      </c>
      <c r="D73" s="9">
        <v>0.34962147281486577</v>
      </c>
      <c r="E73" s="9">
        <v>0.35467625899280575</v>
      </c>
      <c r="F73" s="9">
        <v>0.35951008645533139</v>
      </c>
      <c r="G73" s="9">
        <v>0.36528685548293394</v>
      </c>
      <c r="H73" s="9">
        <f t="shared" si="9"/>
        <v>0.34045922406967538</v>
      </c>
      <c r="I73" s="9">
        <f t="shared" si="7"/>
        <v>0.34627329192546585</v>
      </c>
      <c r="J73" s="9">
        <f t="shared" si="10"/>
        <v>0.36363636363636365</v>
      </c>
      <c r="K73" s="9">
        <f t="shared" si="8"/>
        <v>0.34733683420855216</v>
      </c>
      <c r="L73" s="9">
        <f>'80pivot'!B12</f>
        <v>0.34721189590000001</v>
      </c>
      <c r="M73" s="9">
        <f>'80pivot'!C12</f>
        <v>0.34817518250000001</v>
      </c>
      <c r="N73" s="9">
        <f>'80pivot'!D12</f>
        <v>0.30014858840000003</v>
      </c>
      <c r="O73" s="9">
        <f>'80pivot'!E12</f>
        <v>0.28159645230000002</v>
      </c>
      <c r="P73" s="46">
        <f>'80pivot'!F12</f>
        <v>0.2297101449</v>
      </c>
      <c r="Q73" s="18">
        <v>349</v>
      </c>
      <c r="R73" s="20">
        <f>484+27</f>
        <v>511</v>
      </c>
      <c r="S73" s="20">
        <f>473+35</f>
        <v>508</v>
      </c>
      <c r="T73" s="20">
        <f>449+17+27</f>
        <v>493</v>
      </c>
      <c r="U73" s="20">
        <f>444+2+53</f>
        <v>499</v>
      </c>
      <c r="V73" s="20">
        <f>453+1+49</f>
        <v>503</v>
      </c>
      <c r="W73" s="20">
        <f>416+14</f>
        <v>430</v>
      </c>
      <c r="X73" s="61">
        <f>1333-70</f>
        <v>1263</v>
      </c>
      <c r="Y73" s="20">
        <f>429+17</f>
        <v>446</v>
      </c>
      <c r="Z73" s="61">
        <f>1348-60</f>
        <v>1288</v>
      </c>
      <c r="AA73" s="20">
        <f>457+23</f>
        <v>480</v>
      </c>
      <c r="AB73" s="66">
        <f>1348-28</f>
        <v>1320</v>
      </c>
      <c r="AC73" s="1">
        <f>441+22</f>
        <v>463</v>
      </c>
      <c r="AD73" s="61">
        <v>1333</v>
      </c>
      <c r="AE73" s="20">
        <v>481</v>
      </c>
      <c r="AF73" s="66">
        <v>1345</v>
      </c>
      <c r="AG73" s="20">
        <v>495</v>
      </c>
      <c r="AH73" s="61">
        <v>1370</v>
      </c>
      <c r="AI73" s="55">
        <v>431</v>
      </c>
      <c r="AJ73" s="66">
        <v>1346</v>
      </c>
      <c r="AK73" s="1">
        <v>400</v>
      </c>
      <c r="AL73" s="61">
        <v>1353</v>
      </c>
    </row>
    <row r="74" spans="1:38" ht="12.75" customHeight="1">
      <c r="A74" s="2" t="s">
        <v>54</v>
      </c>
      <c r="B74" s="8">
        <v>0.5393258426966292</v>
      </c>
      <c r="C74" s="9">
        <v>0.381882289123949</v>
      </c>
      <c r="D74" s="9">
        <v>0.40090886139863668</v>
      </c>
      <c r="E74" s="9">
        <v>0.41179474087311718</v>
      </c>
      <c r="F74" s="9">
        <v>0.44839679358717432</v>
      </c>
      <c r="G74" s="9">
        <v>0.47547846889952156</v>
      </c>
      <c r="H74" s="9">
        <f t="shared" si="9"/>
        <v>0.48033126293995859</v>
      </c>
      <c r="I74" s="9">
        <f t="shared" si="7"/>
        <v>0.50708502024291502</v>
      </c>
      <c r="J74" s="9">
        <f t="shared" si="10"/>
        <v>0.51148186334239387</v>
      </c>
      <c r="K74" s="9">
        <f t="shared" si="8"/>
        <v>0.51564735336194567</v>
      </c>
      <c r="L74" s="9">
        <f>'80pivot'!B13</f>
        <v>0.51988304090000004</v>
      </c>
      <c r="M74" s="9">
        <f>'80pivot'!C13</f>
        <v>0.50135082980000001</v>
      </c>
      <c r="N74" s="9">
        <f>'80pivot'!D13</f>
        <v>0.51003419059999999</v>
      </c>
      <c r="O74" s="9">
        <f>'80pivot'!E13</f>
        <v>0.50675997009999996</v>
      </c>
      <c r="P74" s="46">
        <f>'80pivot'!F13</f>
        <v>0.52233250620000005</v>
      </c>
      <c r="Q74" s="18">
        <v>1200</v>
      </c>
      <c r="R74" s="20">
        <f>2604+53+159</f>
        <v>2816</v>
      </c>
      <c r="S74" s="20">
        <f>3027+99+50</f>
        <v>3176</v>
      </c>
      <c r="T74" s="20">
        <f>3152+36+38</f>
        <v>3226</v>
      </c>
      <c r="U74" s="20">
        <f>3268+267+45</f>
        <v>3580</v>
      </c>
      <c r="V74" s="20">
        <f>3735+85+155</f>
        <v>3975</v>
      </c>
      <c r="W74" s="20">
        <f>4031+66+79</f>
        <v>4176</v>
      </c>
      <c r="X74" s="61">
        <f>8737-43</f>
        <v>8694</v>
      </c>
      <c r="Y74" s="20">
        <f>4775+71+164</f>
        <v>5010</v>
      </c>
      <c r="Z74" s="61">
        <v>9880</v>
      </c>
      <c r="AA74" s="20">
        <f>5121+173+163</f>
        <v>5457</v>
      </c>
      <c r="AB74" s="66">
        <f>10707-38</f>
        <v>10669</v>
      </c>
      <c r="AC74" s="1">
        <f>5695+1+71</f>
        <v>5767</v>
      </c>
      <c r="AD74" s="61">
        <f>11466-282</f>
        <v>11184</v>
      </c>
      <c r="AE74" s="20">
        <v>6292</v>
      </c>
      <c r="AF74" s="66">
        <v>11911</v>
      </c>
      <c r="AG74" s="20">
        <v>6671</v>
      </c>
      <c r="AH74" s="61">
        <v>12659</v>
      </c>
      <c r="AI74" s="55">
        <v>6953</v>
      </c>
      <c r="AJ74" s="66">
        <v>13454</v>
      </c>
      <c r="AK74" s="1">
        <v>7694</v>
      </c>
      <c r="AL74" s="61">
        <v>14719</v>
      </c>
    </row>
    <row r="75" spans="1:38" ht="12.75" customHeight="1">
      <c r="A75" s="2" t="s">
        <v>55</v>
      </c>
      <c r="B75" s="8">
        <v>0.53343701399688959</v>
      </c>
      <c r="C75" s="9">
        <v>0.46478873239436619</v>
      </c>
      <c r="D75" s="9">
        <v>0.43372216330858959</v>
      </c>
      <c r="E75" s="9">
        <v>0.43563218390804598</v>
      </c>
      <c r="F75" s="9">
        <v>0.42387332521315468</v>
      </c>
      <c r="G75" s="9">
        <v>0.47015834348355662</v>
      </c>
      <c r="H75" s="9">
        <f t="shared" si="9"/>
        <v>0.45410628019323673</v>
      </c>
      <c r="I75" s="9">
        <f t="shared" si="7"/>
        <v>0.45149700598802395</v>
      </c>
      <c r="J75" s="9">
        <f t="shared" si="10"/>
        <v>0.4432748538011696</v>
      </c>
      <c r="K75" s="9">
        <f t="shared" si="8"/>
        <v>0.44047619047619047</v>
      </c>
      <c r="L75" s="9">
        <f>'80pivot'!B14</f>
        <v>0.4695051784</v>
      </c>
      <c r="M75" s="9">
        <f>'80pivot'!C14</f>
        <v>0.44876325090000002</v>
      </c>
      <c r="N75" s="9">
        <f>'80pivot'!D14</f>
        <v>0.45308641979999997</v>
      </c>
      <c r="O75" s="9">
        <f>'80pivot'!E14</f>
        <v>0.4615384615</v>
      </c>
      <c r="P75" s="46">
        <f>'80pivot'!F14</f>
        <v>0.47989623869999998</v>
      </c>
      <c r="Q75" s="18">
        <v>343</v>
      </c>
      <c r="R75" s="20">
        <f>454+8</f>
        <v>462</v>
      </c>
      <c r="S75" s="20">
        <f>398+11</f>
        <v>409</v>
      </c>
      <c r="T75" s="20">
        <f>361+18</f>
        <v>379</v>
      </c>
      <c r="U75" s="20">
        <f>336+12</f>
        <v>348</v>
      </c>
      <c r="V75" s="20">
        <f>374+12</f>
        <v>386</v>
      </c>
      <c r="W75" s="20">
        <f>367+9</f>
        <v>376</v>
      </c>
      <c r="X75" s="61">
        <v>828</v>
      </c>
      <c r="Y75" s="20">
        <f>369+1+7</f>
        <v>377</v>
      </c>
      <c r="Z75" s="61">
        <v>835</v>
      </c>
      <c r="AA75" s="20">
        <f>371+8</f>
        <v>379</v>
      </c>
      <c r="AB75" s="66">
        <v>855</v>
      </c>
      <c r="AC75" s="1">
        <f>363+1+6</f>
        <v>370</v>
      </c>
      <c r="AD75" s="61">
        <v>840</v>
      </c>
      <c r="AE75" s="20">
        <v>413</v>
      </c>
      <c r="AF75" s="66">
        <v>869</v>
      </c>
      <c r="AG75" s="20">
        <v>386</v>
      </c>
      <c r="AH75" s="61">
        <v>849</v>
      </c>
      <c r="AI75" s="55">
        <v>386</v>
      </c>
      <c r="AJ75" s="66">
        <v>810</v>
      </c>
      <c r="AK75" s="1">
        <v>371</v>
      </c>
      <c r="AL75" s="61">
        <v>754</v>
      </c>
    </row>
    <row r="76" spans="1:38" ht="12.75" customHeight="1">
      <c r="A76" s="2" t="s">
        <v>56</v>
      </c>
      <c r="B76" s="8">
        <v>5.5737704918032788E-2</v>
      </c>
      <c r="C76" s="9">
        <v>9.0154550658271326E-2</v>
      </c>
      <c r="D76" s="9">
        <v>8.7066069428891377E-2</v>
      </c>
      <c r="E76" s="9">
        <v>0.11910499139414803</v>
      </c>
      <c r="F76" s="9">
        <v>0.10461386627189737</v>
      </c>
      <c r="G76" s="9">
        <v>0.10776302349336057</v>
      </c>
      <c r="H76" s="9">
        <f t="shared" si="9"/>
        <v>0.10487982520029134</v>
      </c>
      <c r="I76" s="9">
        <f t="shared" si="7"/>
        <v>0.10504905479779851</v>
      </c>
      <c r="J76" s="9">
        <f t="shared" si="10"/>
        <v>8.1001805054151624E-2</v>
      </c>
      <c r="K76" s="9">
        <f t="shared" ref="K76:K91" si="11">+AC76/AD76</f>
        <v>8.6640211640211642E-2</v>
      </c>
      <c r="L76" s="9">
        <f>'80pivot'!B15</f>
        <v>7.7732974900000001E-2</v>
      </c>
      <c r="M76" s="9">
        <f>'80pivot'!C15</f>
        <v>8.3166999300000002E-2</v>
      </c>
      <c r="N76" s="9">
        <f>'80pivot'!D15</f>
        <v>8.4503998299999994E-2</v>
      </c>
      <c r="O76" s="9">
        <f>'80pivot'!E15</f>
        <v>7.2218869399999996E-2</v>
      </c>
      <c r="P76" s="46">
        <f>'80pivot'!F15</f>
        <v>8.36113837E-2</v>
      </c>
      <c r="Q76" s="18">
        <f>107+21+8</f>
        <v>136</v>
      </c>
      <c r="R76" s="20">
        <f>241+74</f>
        <v>315</v>
      </c>
      <c r="S76" s="20">
        <f>234+77</f>
        <v>311</v>
      </c>
      <c r="T76" s="26">
        <f>257+89</f>
        <v>346</v>
      </c>
      <c r="U76" s="26">
        <f>286+138</f>
        <v>424</v>
      </c>
      <c r="V76" s="26">
        <f>260+162</f>
        <v>422</v>
      </c>
      <c r="W76" s="20">
        <f>285+147</f>
        <v>432</v>
      </c>
      <c r="X76" s="61">
        <v>4119</v>
      </c>
      <c r="Y76" s="20">
        <f>332+107</f>
        <v>439</v>
      </c>
      <c r="Z76" s="61">
        <f>4198-19</f>
        <v>4179</v>
      </c>
      <c r="AA76" s="20">
        <f>263+96</f>
        <v>359</v>
      </c>
      <c r="AB76" s="66">
        <v>4432</v>
      </c>
      <c r="AC76" s="20">
        <f>315+78</f>
        <v>393</v>
      </c>
      <c r="AD76" s="61">
        <v>4536</v>
      </c>
      <c r="AE76" s="20">
        <v>441</v>
      </c>
      <c r="AF76" s="66">
        <v>4464</v>
      </c>
      <c r="AG76" s="20">
        <v>481</v>
      </c>
      <c r="AH76" s="61">
        <v>4509</v>
      </c>
      <c r="AI76" s="55">
        <v>496</v>
      </c>
      <c r="AJ76" s="66">
        <v>4627</v>
      </c>
      <c r="AK76" s="1">
        <v>478</v>
      </c>
      <c r="AL76" s="61">
        <v>4961</v>
      </c>
    </row>
    <row r="77" spans="1:38" ht="12.75" customHeight="1">
      <c r="A77" s="2" t="s">
        <v>57</v>
      </c>
      <c r="B77" s="8">
        <v>0.77320153761669408</v>
      </c>
      <c r="C77" s="9">
        <v>0.59591584158415845</v>
      </c>
      <c r="D77" s="11" t="s">
        <v>29</v>
      </c>
      <c r="E77" s="9">
        <v>0.60131147540983609</v>
      </c>
      <c r="F77" s="9">
        <v>0.60685483870967738</v>
      </c>
      <c r="G77" s="9">
        <v>0.56433121019108279</v>
      </c>
      <c r="H77" s="9">
        <f t="shared" si="9"/>
        <v>0.5521945432977462</v>
      </c>
      <c r="I77" s="9">
        <f t="shared" si="7"/>
        <v>0.53986710963455153</v>
      </c>
      <c r="J77" s="9">
        <f t="shared" si="10"/>
        <v>0.58679135008766803</v>
      </c>
      <c r="K77" s="9">
        <f t="shared" si="11"/>
        <v>0.63054755043227662</v>
      </c>
      <c r="L77" s="9">
        <f>'80pivot'!B16</f>
        <v>0.62195121949999999</v>
      </c>
      <c r="M77" s="9">
        <f>'80pivot'!C16</f>
        <v>0.66492829200000003</v>
      </c>
      <c r="N77" s="9">
        <f>'80pivot'!D16</f>
        <v>0.50811123989999996</v>
      </c>
      <c r="O77" s="9">
        <f>'80pivot'!E16</f>
        <v>0.48703170029999998</v>
      </c>
      <c r="P77" s="46">
        <f>'80pivot'!F16</f>
        <v>0.4881355932</v>
      </c>
      <c r="Q77" s="18">
        <f>1323+58+27</f>
        <v>1408</v>
      </c>
      <c r="R77" s="20">
        <f>938+25</f>
        <v>963</v>
      </c>
      <c r="S77" s="26" t="s">
        <v>29</v>
      </c>
      <c r="T77" s="26">
        <f>905+12</f>
        <v>917</v>
      </c>
      <c r="U77" s="26">
        <f>888+15</f>
        <v>903</v>
      </c>
      <c r="V77" s="26">
        <f>875+11</f>
        <v>886</v>
      </c>
      <c r="W77" s="20">
        <f>912+1+18</f>
        <v>931</v>
      </c>
      <c r="X77" s="61">
        <v>1686</v>
      </c>
      <c r="Y77" s="20">
        <f>964+11</f>
        <v>975</v>
      </c>
      <c r="Z77" s="61">
        <v>1806</v>
      </c>
      <c r="AA77" s="20">
        <f>999+5</f>
        <v>1004</v>
      </c>
      <c r="AB77" s="66">
        <v>1711</v>
      </c>
      <c r="AC77" s="20">
        <f>1090+4</f>
        <v>1094</v>
      </c>
      <c r="AD77" s="61">
        <v>1735</v>
      </c>
      <c r="AE77" s="20">
        <v>1028</v>
      </c>
      <c r="AF77" s="66">
        <v>1640</v>
      </c>
      <c r="AG77" s="20">
        <v>1046</v>
      </c>
      <c r="AH77" s="61">
        <v>1531</v>
      </c>
      <c r="AI77" s="55">
        <v>891</v>
      </c>
      <c r="AJ77" s="66">
        <v>1726</v>
      </c>
      <c r="AK77" s="1">
        <v>860</v>
      </c>
      <c r="AL77" s="61">
        <v>1735</v>
      </c>
    </row>
    <row r="78" spans="1:38" ht="12.75" customHeight="1">
      <c r="A78" s="2" t="s">
        <v>58</v>
      </c>
      <c r="B78" s="8">
        <v>0.12291169451073986</v>
      </c>
      <c r="C78" s="9">
        <v>0.13554434030281182</v>
      </c>
      <c r="D78" s="9">
        <v>0.12777352716143842</v>
      </c>
      <c r="E78" s="9">
        <v>0.13509544787077826</v>
      </c>
      <c r="F78" s="9">
        <v>0.13507625272331156</v>
      </c>
      <c r="G78" s="9">
        <v>0.13984168865435356</v>
      </c>
      <c r="H78" s="9">
        <f t="shared" si="9"/>
        <v>0.10242085661080075</v>
      </c>
      <c r="I78" s="9">
        <f t="shared" si="7"/>
        <v>0.10158910329171396</v>
      </c>
      <c r="J78" s="9">
        <f t="shared" si="10"/>
        <v>0.10069790628115653</v>
      </c>
      <c r="K78" s="9">
        <f t="shared" si="11"/>
        <v>9.6727622714148226E-2</v>
      </c>
      <c r="L78" s="9">
        <f>'80pivot'!B17</f>
        <v>0.1014070839</v>
      </c>
      <c r="M78" s="9">
        <f>'80pivot'!C17</f>
        <v>0.1049085659</v>
      </c>
      <c r="N78" s="9">
        <f>'80pivot'!D17</f>
        <v>9.5009596900000007E-2</v>
      </c>
      <c r="O78" s="9">
        <f>'80pivot'!E17</f>
        <v>0.10499227999999999</v>
      </c>
      <c r="P78" s="46">
        <f>'80pivot'!F17</f>
        <v>0.1119005329</v>
      </c>
      <c r="Q78" s="18">
        <v>103</v>
      </c>
      <c r="R78" s="20">
        <f>157+31</f>
        <v>188</v>
      </c>
      <c r="S78" s="20">
        <f>133+34</f>
        <v>167</v>
      </c>
      <c r="T78" s="20">
        <f>152+32</f>
        <v>184</v>
      </c>
      <c r="U78" s="20">
        <f>159+27</f>
        <v>186</v>
      </c>
      <c r="V78" s="20">
        <f>177+35</f>
        <v>212</v>
      </c>
      <c r="W78" s="20">
        <f>151+14</f>
        <v>165</v>
      </c>
      <c r="X78" s="61">
        <v>1611</v>
      </c>
      <c r="Y78" s="20">
        <f>166+13</f>
        <v>179</v>
      </c>
      <c r="Z78" s="61">
        <v>1762</v>
      </c>
      <c r="AA78" s="20">
        <f>186+16</f>
        <v>202</v>
      </c>
      <c r="AB78" s="66">
        <v>2006</v>
      </c>
      <c r="AC78" s="20">
        <f>184+17</f>
        <v>201</v>
      </c>
      <c r="AD78" s="61">
        <v>2078</v>
      </c>
      <c r="AE78" s="20">
        <v>234</v>
      </c>
      <c r="AF78" s="66">
        <v>2051</v>
      </c>
      <c r="AG78" s="20">
        <v>244</v>
      </c>
      <c r="AH78" s="61">
        <v>2078</v>
      </c>
      <c r="AI78" s="55">
        <v>222</v>
      </c>
      <c r="AJ78" s="66">
        <v>2084</v>
      </c>
      <c r="AK78" s="1">
        <v>248</v>
      </c>
      <c r="AL78" s="61">
        <v>1943</v>
      </c>
    </row>
    <row r="79" spans="1:38" ht="12.75" customHeight="1">
      <c r="A79" s="2" t="s">
        <v>59</v>
      </c>
      <c r="B79" s="8">
        <v>8.9861751152073732E-2</v>
      </c>
      <c r="C79" s="9">
        <v>0.17788018433179723</v>
      </c>
      <c r="D79" s="9">
        <v>0.18128654970760233</v>
      </c>
      <c r="E79" s="9">
        <v>0.17241379310344829</v>
      </c>
      <c r="F79" s="9">
        <v>0.17171717171717171</v>
      </c>
      <c r="G79" s="9">
        <v>0.18308550185873607</v>
      </c>
      <c r="H79" s="9">
        <f t="shared" si="9"/>
        <v>0.19060773480662985</v>
      </c>
      <c r="I79" s="9">
        <f t="shared" ref="I79:I108" si="12">+Y79/Z79</f>
        <v>0.18428184281842819</v>
      </c>
      <c r="J79" s="9">
        <f t="shared" si="10"/>
        <v>0.2227579556412729</v>
      </c>
      <c r="K79" s="9">
        <f t="shared" si="11"/>
        <v>0.23361823361823361</v>
      </c>
      <c r="L79" s="9">
        <f>'80pivot'!B18</f>
        <v>0.2474793767</v>
      </c>
      <c r="M79" s="9">
        <f>'80pivot'!C18</f>
        <v>0.1959459459</v>
      </c>
      <c r="N79" s="9">
        <f>'80pivot'!D18</f>
        <v>0.17603686639999999</v>
      </c>
      <c r="O79" s="9">
        <f>'80pivot'!E18</f>
        <v>0.23874755380000001</v>
      </c>
      <c r="P79" s="46">
        <f>'80pivot'!F18</f>
        <v>0.21683673470000001</v>
      </c>
      <c r="Q79" s="18">
        <v>39</v>
      </c>
      <c r="R79" s="20">
        <f>185+8</f>
        <v>193</v>
      </c>
      <c r="S79" s="20">
        <f>175+11</f>
        <v>186</v>
      </c>
      <c r="T79" s="20">
        <f>161+9</f>
        <v>170</v>
      </c>
      <c r="U79" s="20">
        <f>180+7</f>
        <v>187</v>
      </c>
      <c r="V79" s="20">
        <f>185+12</f>
        <v>197</v>
      </c>
      <c r="W79" s="20">
        <f>198+9</f>
        <v>207</v>
      </c>
      <c r="X79" s="61">
        <f>1114-28</f>
        <v>1086</v>
      </c>
      <c r="Y79" s="20">
        <f>193+1+10</f>
        <v>204</v>
      </c>
      <c r="Z79" s="61">
        <f>1128-21</f>
        <v>1107</v>
      </c>
      <c r="AA79" s="20">
        <f>215+16</f>
        <v>231</v>
      </c>
      <c r="AB79" s="66">
        <v>1037</v>
      </c>
      <c r="AC79" s="20">
        <f>218+28</f>
        <v>246</v>
      </c>
      <c r="AD79" s="61">
        <v>1053</v>
      </c>
      <c r="AE79" s="20">
        <v>299</v>
      </c>
      <c r="AF79" s="66">
        <v>1035</v>
      </c>
      <c r="AG79" s="20">
        <v>275</v>
      </c>
      <c r="AH79" s="61">
        <v>1127</v>
      </c>
      <c r="AI79" s="55">
        <v>277</v>
      </c>
      <c r="AJ79" s="66">
        <v>1085</v>
      </c>
      <c r="AK79" s="1">
        <v>327</v>
      </c>
      <c r="AL79" s="61">
        <v>1022</v>
      </c>
    </row>
    <row r="80" spans="1:38" ht="12.75" customHeight="1">
      <c r="A80" s="2" t="s">
        <v>60</v>
      </c>
      <c r="B80" s="10" t="s">
        <v>29</v>
      </c>
      <c r="C80" s="9">
        <v>0.14673743365594755</v>
      </c>
      <c r="D80" s="9">
        <v>0.1426448736998514</v>
      </c>
      <c r="E80" s="9">
        <v>0.13908629441624365</v>
      </c>
      <c r="F80" s="9">
        <v>0.15484840892007015</v>
      </c>
      <c r="G80" s="9">
        <v>0.15028901734104047</v>
      </c>
      <c r="H80" s="9">
        <f t="shared" si="9"/>
        <v>0.16832579185520363</v>
      </c>
      <c r="I80" s="9">
        <f t="shared" si="12"/>
        <v>0.19074394463667821</v>
      </c>
      <c r="J80" s="9">
        <f t="shared" si="10"/>
        <v>0.20595054095826892</v>
      </c>
      <c r="K80" s="9">
        <f t="shared" si="11"/>
        <v>0.21155539897833361</v>
      </c>
      <c r="L80" s="9">
        <f>'80pivot'!B19</f>
        <v>0.16430454850000001</v>
      </c>
      <c r="M80" s="9">
        <f>'80pivot'!C19</f>
        <v>0.172513624</v>
      </c>
      <c r="N80" s="9">
        <f>'80pivot'!D19</f>
        <v>0.18852459020000001</v>
      </c>
      <c r="O80" s="9">
        <f>'80pivot'!E19</f>
        <v>0.2010026633</v>
      </c>
      <c r="P80" s="46">
        <f>'80pivot'!F19</f>
        <v>0.22873082289999999</v>
      </c>
      <c r="Q80" s="25" t="s">
        <v>29</v>
      </c>
      <c r="R80" s="20">
        <f>410+1+59</f>
        <v>470</v>
      </c>
      <c r="S80" s="20">
        <f>362+118</f>
        <v>480</v>
      </c>
      <c r="T80" s="20">
        <f>374+174</f>
        <v>548</v>
      </c>
      <c r="U80" s="20">
        <f>415+203</f>
        <v>618</v>
      </c>
      <c r="V80" s="20">
        <f>345+253</f>
        <v>598</v>
      </c>
      <c r="W80" s="20">
        <f>415+329</f>
        <v>744</v>
      </c>
      <c r="X80" s="61">
        <f>4449-29</f>
        <v>4420</v>
      </c>
      <c r="Y80" s="20">
        <f>532+350</f>
        <v>882</v>
      </c>
      <c r="Z80" s="61">
        <f>4923-299</f>
        <v>4624</v>
      </c>
      <c r="AA80" s="20">
        <f>718+2+346</f>
        <v>1066</v>
      </c>
      <c r="AB80" s="66">
        <f>5512-336</f>
        <v>5176</v>
      </c>
      <c r="AC80" s="20">
        <f>851+1+349</f>
        <v>1201</v>
      </c>
      <c r="AD80" s="61">
        <f>5738-61</f>
        <v>5677</v>
      </c>
      <c r="AE80" s="20">
        <v>1416</v>
      </c>
      <c r="AF80" s="66">
        <v>6043</v>
      </c>
      <c r="AG80" s="20">
        <v>1520</v>
      </c>
      <c r="AH80" s="61">
        <v>5816</v>
      </c>
      <c r="AI80" s="55">
        <v>1814</v>
      </c>
      <c r="AJ80" s="66">
        <v>6344</v>
      </c>
      <c r="AK80" s="1">
        <v>1938</v>
      </c>
      <c r="AL80" s="61">
        <v>6383</v>
      </c>
    </row>
    <row r="81" spans="1:38" ht="12.75" customHeight="1">
      <c r="A81" s="2" t="s">
        <v>61</v>
      </c>
      <c r="B81" s="8">
        <v>6.8688118811881194E-2</v>
      </c>
      <c r="C81" s="9">
        <v>0.14066193853427897</v>
      </c>
      <c r="D81" s="9">
        <v>0.13545347467608951</v>
      </c>
      <c r="E81" s="9">
        <v>0.127373417721519</v>
      </c>
      <c r="F81" s="9">
        <v>0.11037699183832103</v>
      </c>
      <c r="G81" s="9">
        <v>0.11512158054711247</v>
      </c>
      <c r="H81" s="9">
        <f t="shared" si="9"/>
        <v>0.11143911439114391</v>
      </c>
      <c r="I81" s="9">
        <f t="shared" si="12"/>
        <v>0.10963455149501661</v>
      </c>
      <c r="J81" s="9">
        <f t="shared" si="10"/>
        <v>0.12113003095975232</v>
      </c>
      <c r="K81" s="9">
        <f t="shared" si="11"/>
        <v>0.12937194433997742</v>
      </c>
      <c r="L81" s="9">
        <f>'80pivot'!B20</f>
        <v>0.13064046579999999</v>
      </c>
      <c r="M81" s="9">
        <f>'80pivot'!C20</f>
        <v>0.1263834345</v>
      </c>
      <c r="N81" s="9">
        <f>'80pivot'!D20</f>
        <v>0.1259411362</v>
      </c>
      <c r="O81" s="9">
        <f>'80pivot'!E20</f>
        <v>0.1216768916</v>
      </c>
      <c r="P81" s="46">
        <f>'80pivot'!F20</f>
        <v>0.12904312670000001</v>
      </c>
      <c r="Q81" s="18">
        <v>111</v>
      </c>
      <c r="R81" s="20">
        <f>203+154</f>
        <v>357</v>
      </c>
      <c r="S81" s="20">
        <f>214+131</f>
        <v>345</v>
      </c>
      <c r="T81" s="20">
        <f>201+121</f>
        <v>322</v>
      </c>
      <c r="U81" s="20">
        <f>189+95</f>
        <v>284</v>
      </c>
      <c r="V81" s="20">
        <f>215+88</f>
        <v>303</v>
      </c>
      <c r="W81" s="20">
        <f>211+91</f>
        <v>302</v>
      </c>
      <c r="X81" s="61">
        <v>2710</v>
      </c>
      <c r="Y81" s="20">
        <f>252+45</f>
        <v>297</v>
      </c>
      <c r="Z81" s="61">
        <v>2709</v>
      </c>
      <c r="AA81" s="20">
        <f>279+34</f>
        <v>313</v>
      </c>
      <c r="AB81" s="66">
        <v>2584</v>
      </c>
      <c r="AC81" s="20">
        <f>321+23</f>
        <v>344</v>
      </c>
      <c r="AD81" s="61">
        <v>2659</v>
      </c>
      <c r="AE81" s="20">
        <v>373</v>
      </c>
      <c r="AF81" s="66">
        <v>2748</v>
      </c>
      <c r="AG81" s="20">
        <v>366</v>
      </c>
      <c r="AH81" s="61">
        <v>2801</v>
      </c>
      <c r="AI81" s="55">
        <v>371</v>
      </c>
      <c r="AJ81" s="66">
        <v>2922</v>
      </c>
      <c r="AK81" s="1">
        <v>359</v>
      </c>
      <c r="AL81" s="61">
        <v>2934</v>
      </c>
    </row>
    <row r="82" spans="1:38" ht="12.75" customHeight="1">
      <c r="A82" s="2" t="s">
        <v>62</v>
      </c>
      <c r="B82" s="8">
        <v>5.7077625570776253E-2</v>
      </c>
      <c r="C82" s="9">
        <v>5.0104384133611693E-2</v>
      </c>
      <c r="D82" s="9">
        <v>4.4952100221075902E-2</v>
      </c>
      <c r="E82" s="9">
        <v>4.9949375632804591E-2</v>
      </c>
      <c r="F82" s="9">
        <v>6.3615205585725365E-2</v>
      </c>
      <c r="G82" s="9">
        <v>6.1814191660570596E-2</v>
      </c>
      <c r="H82" s="9">
        <f t="shared" si="9"/>
        <v>7.3655494933749024E-2</v>
      </c>
      <c r="I82" s="9">
        <f t="shared" si="12"/>
        <v>7.3954983922829579E-2</v>
      </c>
      <c r="J82" s="9">
        <f t="shared" si="10"/>
        <v>0.20285261489698891</v>
      </c>
      <c r="K82" s="9">
        <f t="shared" si="11"/>
        <v>0.20222929936305734</v>
      </c>
      <c r="L82" s="9">
        <f>'80pivot'!B21</f>
        <v>0.11712379539999999</v>
      </c>
      <c r="M82" s="9">
        <f>'80pivot'!C21</f>
        <v>0.111747851</v>
      </c>
      <c r="N82" s="9">
        <f>'80pivot'!D21</f>
        <v>4.5412418900000001E-2</v>
      </c>
      <c r="O82" s="9">
        <f>'80pivot'!E21</f>
        <v>5.3613744099999999E-2</v>
      </c>
      <c r="P82" s="46">
        <f>'80pivot'!F21</f>
        <v>5.0563341599999999E-2</v>
      </c>
      <c r="Q82" s="18">
        <v>25</v>
      </c>
      <c r="R82" s="20">
        <f>91+1+28</f>
        <v>120</v>
      </c>
      <c r="S82" s="20">
        <f>93+6+23</f>
        <v>122</v>
      </c>
      <c r="T82" s="20">
        <v>148</v>
      </c>
      <c r="U82" s="20">
        <f>116+6+42</f>
        <v>164</v>
      </c>
      <c r="V82" s="20">
        <f>129+3+37</f>
        <v>169</v>
      </c>
      <c r="W82" s="20">
        <f>147+6+36</f>
        <v>189</v>
      </c>
      <c r="X82" s="61">
        <f>2649-83</f>
        <v>2566</v>
      </c>
      <c r="Y82" s="20">
        <f>158+2+47</f>
        <v>207</v>
      </c>
      <c r="Z82" s="61">
        <f>2947-148</f>
        <v>2799</v>
      </c>
      <c r="AA82" s="20">
        <f>185+5+66</f>
        <v>256</v>
      </c>
      <c r="AB82" s="66">
        <f>1410-148</f>
        <v>1262</v>
      </c>
      <c r="AC82" s="20">
        <f>166+4+84</f>
        <v>254</v>
      </c>
      <c r="AD82" s="61">
        <f>1462-206</f>
        <v>1256</v>
      </c>
      <c r="AE82" s="20">
        <v>229</v>
      </c>
      <c r="AF82" s="66">
        <v>1216</v>
      </c>
      <c r="AG82" s="20">
        <v>224</v>
      </c>
      <c r="AH82" s="61">
        <v>1219</v>
      </c>
      <c r="AI82" s="55">
        <v>207</v>
      </c>
      <c r="AJ82" s="66">
        <v>3237</v>
      </c>
      <c r="AK82" s="1">
        <v>219</v>
      </c>
      <c r="AL82" s="61">
        <v>3376</v>
      </c>
    </row>
    <row r="83" spans="1:38" ht="12.75" customHeight="1">
      <c r="A83" s="2" t="s">
        <v>63</v>
      </c>
      <c r="B83" s="8">
        <v>0.26970954356846472</v>
      </c>
      <c r="C83" s="9">
        <v>0.35897435897435898</v>
      </c>
      <c r="D83" s="9">
        <v>0.33005893909626721</v>
      </c>
      <c r="E83" s="9">
        <v>0.34012738853503183</v>
      </c>
      <c r="F83" s="9">
        <v>0.35248547449967721</v>
      </c>
      <c r="G83" s="9">
        <v>0.35890932149651239</v>
      </c>
      <c r="H83" s="9">
        <f t="shared" si="9"/>
        <v>0.35312500000000002</v>
      </c>
      <c r="I83" s="9">
        <f t="shared" si="12"/>
        <v>0.36184615384615387</v>
      </c>
      <c r="J83" s="11" t="s">
        <v>29</v>
      </c>
      <c r="K83" s="9">
        <f t="shared" si="11"/>
        <v>0.3688073394495413</v>
      </c>
      <c r="L83" s="9">
        <f>'80pivot'!B22</f>
        <v>0.25404732250000001</v>
      </c>
      <c r="M83" s="9">
        <f>'80pivot'!C22</f>
        <v>0.23317591500000001</v>
      </c>
      <c r="N83" s="9">
        <f>'80pivot'!D22</f>
        <v>0.22929936309999999</v>
      </c>
      <c r="O83" s="9">
        <f>'80pivot'!E22</f>
        <v>0.22247065399999999</v>
      </c>
      <c r="P83" s="46">
        <f>'80pivot'!F22</f>
        <v>0.2162011173</v>
      </c>
      <c r="Q83" s="18">
        <v>130</v>
      </c>
      <c r="R83" s="20">
        <f>464+40</f>
        <v>504</v>
      </c>
      <c r="S83" s="20">
        <f>467+5+32</f>
        <v>504</v>
      </c>
      <c r="T83" s="20">
        <f>485+3+46</f>
        <v>534</v>
      </c>
      <c r="U83" s="20">
        <f>492+14+40</f>
        <v>546</v>
      </c>
      <c r="V83" s="20">
        <f>447+14+105</f>
        <v>566</v>
      </c>
      <c r="W83" s="20">
        <f>466+7+92</f>
        <v>565</v>
      </c>
      <c r="X83" s="61">
        <v>1600</v>
      </c>
      <c r="Y83" s="20">
        <f>477+4+107</f>
        <v>588</v>
      </c>
      <c r="Z83" s="61">
        <v>1625</v>
      </c>
      <c r="AA83" s="26" t="s">
        <v>29</v>
      </c>
      <c r="AC83" s="20">
        <f>433+9+161</f>
        <v>603</v>
      </c>
      <c r="AD83" s="61">
        <v>1635</v>
      </c>
      <c r="AE83" s="20">
        <v>568</v>
      </c>
      <c r="AF83" s="66">
        <v>1606</v>
      </c>
      <c r="AG83" s="20">
        <v>561</v>
      </c>
      <c r="AH83" s="61">
        <v>1694</v>
      </c>
      <c r="AI83" s="55">
        <v>541</v>
      </c>
      <c r="AJ83" s="66">
        <v>1727</v>
      </c>
      <c r="AK83" s="1">
        <v>555</v>
      </c>
      <c r="AL83" s="61">
        <v>1789</v>
      </c>
    </row>
    <row r="84" spans="1:38" ht="12.75" customHeight="1">
      <c r="A84" s="2" t="s">
        <v>64</v>
      </c>
      <c r="B84" s="10" t="s">
        <v>29</v>
      </c>
      <c r="C84" s="9">
        <v>0.846714172604909</v>
      </c>
      <c r="D84" s="9">
        <v>0.85985561833019464</v>
      </c>
      <c r="E84" s="9">
        <v>0.59313938341293959</v>
      </c>
      <c r="F84" s="9">
        <v>0.66998468606431849</v>
      </c>
      <c r="G84" s="9">
        <v>0.54370929036681526</v>
      </c>
      <c r="H84" s="9">
        <f t="shared" si="9"/>
        <v>0.77679837892603854</v>
      </c>
      <c r="I84" s="9">
        <f t="shared" si="12"/>
        <v>0.86919057658813825</v>
      </c>
      <c r="J84" s="9">
        <f t="shared" ref="J84:J94" si="13">+AA84/AB84</f>
        <v>0.83812205017802432</v>
      </c>
      <c r="K84" s="9">
        <f t="shared" si="11"/>
        <v>0.7963656650992269</v>
      </c>
      <c r="L84" s="9">
        <f>'80pivot'!B23</f>
        <v>0.79753449259999998</v>
      </c>
      <c r="M84" s="9">
        <f>'80pivot'!C23</f>
        <v>0.79701916250000004</v>
      </c>
      <c r="N84" s="9">
        <f>'80pivot'!D23</f>
        <v>0.75592077540000002</v>
      </c>
      <c r="O84" s="9">
        <f>'80pivot'!E23</f>
        <v>0.68312929730000005</v>
      </c>
      <c r="P84" s="46">
        <f>'80pivot'!F23</f>
        <v>0.71633393830000003</v>
      </c>
      <c r="Q84" s="25" t="s">
        <v>29</v>
      </c>
      <c r="R84" s="20">
        <v>5347</v>
      </c>
      <c r="S84" s="20">
        <v>5479</v>
      </c>
      <c r="T84" s="20">
        <f>1326+1+39</f>
        <v>1366</v>
      </c>
      <c r="U84" s="20">
        <f>1629+121</f>
        <v>1750</v>
      </c>
      <c r="V84" s="20">
        <f>1477+109</f>
        <v>1586</v>
      </c>
      <c r="W84" s="20">
        <f>7346+321</f>
        <v>7667</v>
      </c>
      <c r="X84" s="61">
        <v>9870</v>
      </c>
      <c r="Y84" s="20">
        <f>9075+8+399</f>
        <v>9482</v>
      </c>
      <c r="Z84" s="61">
        <f>11521-612</f>
        <v>10909</v>
      </c>
      <c r="AA84" s="20">
        <f>9709+5+408</f>
        <v>10122</v>
      </c>
      <c r="AB84" s="66">
        <v>12077</v>
      </c>
      <c r="AC84" s="20">
        <f>9772+1+219</f>
        <v>9992</v>
      </c>
      <c r="AD84" s="61">
        <f>12688-141</f>
        <v>12547</v>
      </c>
      <c r="AE84" s="20">
        <v>10315</v>
      </c>
      <c r="AF84" s="66">
        <v>12629</v>
      </c>
      <c r="AG84" s="20">
        <v>10412</v>
      </c>
      <c r="AH84" s="61">
        <v>12681</v>
      </c>
      <c r="AI84" s="55">
        <v>9441</v>
      </c>
      <c r="AJ84" s="66">
        <v>11865</v>
      </c>
      <c r="AK84" s="1">
        <v>8771</v>
      </c>
      <c r="AL84" s="61">
        <v>11926</v>
      </c>
    </row>
    <row r="85" spans="1:38" ht="12.75" customHeight="1">
      <c r="A85" s="2" t="s">
        <v>65</v>
      </c>
      <c r="B85" s="8">
        <v>0.24851131401349741</v>
      </c>
      <c r="C85" s="9">
        <v>0.30453879941434847</v>
      </c>
      <c r="D85" s="9">
        <v>0.32256509161041463</v>
      </c>
      <c r="E85" s="9">
        <v>0.31664282308059133</v>
      </c>
      <c r="F85" s="9">
        <v>0.28810226155358898</v>
      </c>
      <c r="G85" s="9">
        <v>0.30780706116360018</v>
      </c>
      <c r="H85" s="9">
        <f t="shared" si="9"/>
        <v>0.29554455445544553</v>
      </c>
      <c r="I85" s="9">
        <f t="shared" si="12"/>
        <v>0.30796731358529111</v>
      </c>
      <c r="J85" s="9">
        <f t="shared" si="13"/>
        <v>0.33299180327868855</v>
      </c>
      <c r="K85" s="9">
        <f t="shared" si="11"/>
        <v>0.32902917264466763</v>
      </c>
      <c r="L85" s="9">
        <f>'80pivot'!B24</f>
        <v>0.3294329433</v>
      </c>
      <c r="M85" s="9">
        <f>'80pivot'!C24</f>
        <v>0.33175150990000002</v>
      </c>
      <c r="N85" s="9">
        <f>'80pivot'!D24</f>
        <v>0.3403211418</v>
      </c>
      <c r="O85" s="9">
        <f>'80pivot'!E24</f>
        <v>0.34528301890000002</v>
      </c>
      <c r="P85" s="46">
        <f>'80pivot'!F24</f>
        <v>0.3464641671</v>
      </c>
      <c r="Q85" s="18">
        <v>626</v>
      </c>
      <c r="R85" s="20">
        <f>615+9</f>
        <v>624</v>
      </c>
      <c r="S85" s="20">
        <f>648+21</f>
        <v>669</v>
      </c>
      <c r="T85" s="20">
        <f>629+35</f>
        <v>664</v>
      </c>
      <c r="U85" s="20">
        <f>567+19</f>
        <v>586</v>
      </c>
      <c r="V85" s="20">
        <f>582+1+36</f>
        <v>619</v>
      </c>
      <c r="W85" s="20">
        <f>576+1+20</f>
        <v>597</v>
      </c>
      <c r="X85" s="61">
        <v>2020</v>
      </c>
      <c r="Y85" s="20">
        <f>585+18</f>
        <v>603</v>
      </c>
      <c r="Z85" s="61">
        <v>1958</v>
      </c>
      <c r="AA85" s="20">
        <f>639+11</f>
        <v>650</v>
      </c>
      <c r="AB85" s="66">
        <v>1952</v>
      </c>
      <c r="AC85" s="20">
        <f>666+1+21</f>
        <v>688</v>
      </c>
      <c r="AD85" s="61">
        <v>2091</v>
      </c>
      <c r="AE85" s="20">
        <v>743</v>
      </c>
      <c r="AF85" s="66">
        <v>2222</v>
      </c>
      <c r="AG85" s="20">
        <v>777</v>
      </c>
      <c r="AH85" s="61">
        <v>2318</v>
      </c>
      <c r="AI85" s="55">
        <v>769</v>
      </c>
      <c r="AJ85" s="66">
        <v>2242</v>
      </c>
      <c r="AK85" s="1">
        <v>747</v>
      </c>
      <c r="AL85" s="61">
        <v>2120</v>
      </c>
    </row>
    <row r="86" spans="1:38" ht="12.75" customHeight="1">
      <c r="A86" s="2" t="s">
        <v>66</v>
      </c>
      <c r="B86" s="8">
        <v>0.27311598075895244</v>
      </c>
      <c r="C86" s="9">
        <v>0.41620209059233448</v>
      </c>
      <c r="D86" s="9">
        <v>0.44599474720945503</v>
      </c>
      <c r="E86" s="9">
        <v>0.46344936708860762</v>
      </c>
      <c r="F86" s="9">
        <v>0.49038163201985729</v>
      </c>
      <c r="G86" s="9">
        <v>0.5093195938778603</v>
      </c>
      <c r="H86" s="9">
        <f t="shared" si="9"/>
        <v>0.51093375897845172</v>
      </c>
      <c r="I86" s="9">
        <f t="shared" si="12"/>
        <v>0.35014142202282261</v>
      </c>
      <c r="J86" s="9">
        <f t="shared" si="13"/>
        <v>0.37086675797299939</v>
      </c>
      <c r="K86" s="9">
        <f t="shared" si="11"/>
        <v>0.40136312003029156</v>
      </c>
      <c r="L86" s="9">
        <f>'80pivot'!B25</f>
        <v>0.39169796779999999</v>
      </c>
      <c r="M86" s="9">
        <f>'80pivot'!C25</f>
        <v>0.41387293939999997</v>
      </c>
      <c r="N86" s="9">
        <f>'80pivot'!D25</f>
        <v>0.40189505679999998</v>
      </c>
      <c r="O86" s="9">
        <f>'80pivot'!E25</f>
        <v>0.4153597993</v>
      </c>
      <c r="P86" s="46">
        <f>'80pivot'!F25</f>
        <v>0.4122057401</v>
      </c>
      <c r="Q86" s="18">
        <f>1076+166+23+120+148</f>
        <v>1533</v>
      </c>
      <c r="R86" s="20">
        <f>2017+16+356</f>
        <v>2389</v>
      </c>
      <c r="S86" s="20">
        <f>2429+13+275</f>
        <v>2717</v>
      </c>
      <c r="T86" s="20">
        <f>2664+12+253</f>
        <v>2929</v>
      </c>
      <c r="U86" s="20">
        <f>2971+9+181</f>
        <v>3161</v>
      </c>
      <c r="V86" s="20">
        <f>3166+12+183</f>
        <v>3361</v>
      </c>
      <c r="W86" s="20">
        <f>2997+10+194</f>
        <v>3201</v>
      </c>
      <c r="X86" s="61">
        <f>9917-3652</f>
        <v>6265</v>
      </c>
      <c r="Y86" s="20">
        <f>3413+5+172</f>
        <v>3590</v>
      </c>
      <c r="Z86" s="61">
        <f>10270-17</f>
        <v>10253</v>
      </c>
      <c r="AA86" s="20">
        <f>3616+10+165</f>
        <v>3791</v>
      </c>
      <c r="AB86" s="66">
        <f>10235-13</f>
        <v>10222</v>
      </c>
      <c r="AC86" s="20">
        <f>4014+11+215</f>
        <v>4240</v>
      </c>
      <c r="AD86" s="61">
        <f>10591-27</f>
        <v>10564</v>
      </c>
      <c r="AE86" s="20">
        <v>4232</v>
      </c>
      <c r="AF86" s="66">
        <v>10136</v>
      </c>
      <c r="AG86" s="20">
        <v>4707</v>
      </c>
      <c r="AH86" s="61">
        <v>10723</v>
      </c>
      <c r="AI86" s="55">
        <v>5098</v>
      </c>
      <c r="AJ86" s="66">
        <v>11187</v>
      </c>
      <c r="AK86" s="1">
        <v>5433</v>
      </c>
      <c r="AL86" s="61">
        <v>11159</v>
      </c>
    </row>
    <row r="87" spans="1:38" ht="12.75" customHeight="1">
      <c r="A87" s="2" t="s">
        <v>67</v>
      </c>
      <c r="B87" s="10" t="s">
        <v>29</v>
      </c>
      <c r="C87" s="9">
        <v>0.15959376133478417</v>
      </c>
      <c r="D87" s="9">
        <v>0.18619246861924685</v>
      </c>
      <c r="E87" s="9">
        <v>0.17993573723670117</v>
      </c>
      <c r="F87" s="9">
        <v>0.17243920412675018</v>
      </c>
      <c r="G87" s="9">
        <v>0.16691230655858511</v>
      </c>
      <c r="H87" s="9">
        <f t="shared" si="9"/>
        <v>0.17035647279549718</v>
      </c>
      <c r="I87" s="9">
        <f t="shared" si="12"/>
        <v>0.16261061946902655</v>
      </c>
      <c r="J87" s="9">
        <f t="shared" si="13"/>
        <v>0.16462480857580397</v>
      </c>
      <c r="K87" s="9">
        <f t="shared" si="11"/>
        <v>0.1676946800308404</v>
      </c>
      <c r="L87" s="9">
        <f>'80pivot'!B26</f>
        <v>0.14963235289999999</v>
      </c>
      <c r="M87" s="9">
        <f>'80pivot'!C26</f>
        <v>0.14374315939999999</v>
      </c>
      <c r="N87" s="9">
        <f>'80pivot'!D26</f>
        <v>0.14760543249999999</v>
      </c>
      <c r="O87" s="9">
        <f>'80pivot'!E26</f>
        <v>0.143394935</v>
      </c>
      <c r="P87" s="46">
        <f>'80pivot'!F26</f>
        <v>0.1443298969</v>
      </c>
      <c r="Q87" s="18">
        <f>426+15+14</f>
        <v>455</v>
      </c>
      <c r="R87" s="20">
        <f>421+19</f>
        <v>440</v>
      </c>
      <c r="S87" s="20">
        <f>511+23</f>
        <v>534</v>
      </c>
      <c r="T87" s="20">
        <f>490+14</f>
        <v>504</v>
      </c>
      <c r="U87" s="20">
        <f>450+18</f>
        <v>468</v>
      </c>
      <c r="V87" s="20">
        <f>440+1+12</f>
        <v>453</v>
      </c>
      <c r="W87" s="20">
        <f>430+24</f>
        <v>454</v>
      </c>
      <c r="X87" s="61">
        <v>2665</v>
      </c>
      <c r="Y87" s="20">
        <f>422+19</f>
        <v>441</v>
      </c>
      <c r="Z87" s="61">
        <f>2736-24</f>
        <v>2712</v>
      </c>
      <c r="AA87" s="20">
        <v>430</v>
      </c>
      <c r="AB87" s="66">
        <v>2612</v>
      </c>
      <c r="AC87" s="20">
        <f>415+20</f>
        <v>435</v>
      </c>
      <c r="AD87" s="61">
        <f>2683-89</f>
        <v>2594</v>
      </c>
      <c r="AE87" s="20">
        <v>430</v>
      </c>
      <c r="AF87" s="66">
        <v>2642</v>
      </c>
      <c r="AG87" s="20">
        <v>417</v>
      </c>
      <c r="AH87" s="61">
        <v>2610</v>
      </c>
      <c r="AI87" s="55">
        <v>442</v>
      </c>
      <c r="AJ87" s="66">
        <v>2798</v>
      </c>
      <c r="AK87" s="1">
        <v>444</v>
      </c>
      <c r="AL87" s="61">
        <v>2922</v>
      </c>
    </row>
    <row r="88" spans="1:38" ht="12.75" customHeight="1">
      <c r="A88" s="2" t="s">
        <v>68</v>
      </c>
      <c r="B88" s="8">
        <v>0.77179080824088753</v>
      </c>
      <c r="C88" s="9">
        <v>0.62579821200510855</v>
      </c>
      <c r="D88" s="9">
        <v>0.62272089761570826</v>
      </c>
      <c r="E88" s="9">
        <v>0.57980900409276948</v>
      </c>
      <c r="F88" s="9">
        <v>0.57968970380818052</v>
      </c>
      <c r="G88" s="9">
        <v>0.55339805825242716</v>
      </c>
      <c r="H88" s="9">
        <f t="shared" si="9"/>
        <v>0.57240204429301533</v>
      </c>
      <c r="I88" s="9">
        <f t="shared" si="12"/>
        <v>0.54766031195840559</v>
      </c>
      <c r="J88" s="9">
        <f t="shared" si="13"/>
        <v>0.54660347551342814</v>
      </c>
      <c r="K88" s="9">
        <f t="shared" si="11"/>
        <v>0.54847277556440899</v>
      </c>
      <c r="L88" s="9">
        <f>'80pivot'!B27</f>
        <v>0.52189349110000005</v>
      </c>
      <c r="M88" s="9">
        <f>'80pivot'!C27</f>
        <v>0.5</v>
      </c>
      <c r="N88" s="9">
        <f>'80pivot'!D27</f>
        <v>0.47613997879999997</v>
      </c>
      <c r="O88" s="9">
        <f>'80pivot'!E27</f>
        <v>0.45846477390000001</v>
      </c>
      <c r="P88" s="46">
        <f>'80pivot'!F27</f>
        <v>0.4457687723</v>
      </c>
      <c r="Q88" s="25">
        <v>974</v>
      </c>
      <c r="R88" s="20">
        <f>484+6</f>
        <v>490</v>
      </c>
      <c r="S88" s="20">
        <f>437+7</f>
        <v>444</v>
      </c>
      <c r="T88" s="20">
        <f>399+26</f>
        <v>425</v>
      </c>
      <c r="U88" s="20">
        <f>397+14</f>
        <v>411</v>
      </c>
      <c r="V88" s="20">
        <f>322+20</f>
        <v>342</v>
      </c>
      <c r="W88" s="20">
        <f>331+1+4</f>
        <v>336</v>
      </c>
      <c r="X88" s="61">
        <f>596-9</f>
        <v>587</v>
      </c>
      <c r="Y88" s="20">
        <v>316</v>
      </c>
      <c r="Z88" s="61">
        <v>577</v>
      </c>
      <c r="AA88" s="20">
        <v>346</v>
      </c>
      <c r="AB88" s="66">
        <v>633</v>
      </c>
      <c r="AC88" s="20">
        <f>407+1+5</f>
        <v>413</v>
      </c>
      <c r="AD88" s="61">
        <v>753</v>
      </c>
      <c r="AE88" s="20">
        <v>447</v>
      </c>
      <c r="AF88" s="66">
        <v>845</v>
      </c>
      <c r="AG88" s="20">
        <v>444</v>
      </c>
      <c r="AH88" s="61">
        <v>884</v>
      </c>
      <c r="AI88" s="55">
        <v>453</v>
      </c>
      <c r="AJ88" s="66">
        <v>943</v>
      </c>
      <c r="AK88" s="1">
        <v>438</v>
      </c>
      <c r="AL88" s="61">
        <v>951</v>
      </c>
    </row>
    <row r="89" spans="1:38" ht="12.75" customHeight="1">
      <c r="A89" s="2" t="s">
        <v>69</v>
      </c>
      <c r="B89" s="8">
        <v>0.49779411764705883</v>
      </c>
      <c r="C89" s="9">
        <v>0.71802131912058631</v>
      </c>
      <c r="D89" s="9">
        <v>0.73288547664747283</v>
      </c>
      <c r="E89" s="9">
        <v>0.75204317656129527</v>
      </c>
      <c r="F89" s="9">
        <v>0.76812246735704637</v>
      </c>
      <c r="G89" s="9">
        <v>0.76741405082212255</v>
      </c>
      <c r="H89" s="9">
        <f t="shared" ref="H89:H94" si="14">+W89/X89</f>
        <v>0.73485174043833257</v>
      </c>
      <c r="I89" s="9">
        <f t="shared" si="12"/>
        <v>0.74180269694819023</v>
      </c>
      <c r="J89" s="9">
        <f t="shared" si="13"/>
        <v>0.73605386095081071</v>
      </c>
      <c r="K89" s="9">
        <f t="shared" si="11"/>
        <v>0.75103957075788064</v>
      </c>
      <c r="L89" s="9">
        <f>'80pivot'!B28</f>
        <v>0.71093961549999996</v>
      </c>
      <c r="M89" s="9">
        <f>'80pivot'!C28</f>
        <v>0.71777195640000002</v>
      </c>
      <c r="N89" s="9">
        <f>'80pivot'!D28</f>
        <v>0.7319971367</v>
      </c>
      <c r="O89" s="9">
        <f>'80pivot'!E28</f>
        <v>0.73701390860000005</v>
      </c>
      <c r="P89" s="46">
        <f>'80pivot'!F28</f>
        <v>0.73662090219999998</v>
      </c>
      <c r="Q89" s="18">
        <f>3020+181+32+104+48</f>
        <v>3385</v>
      </c>
      <c r="R89" s="20">
        <f>3956+8+347</f>
        <v>4311</v>
      </c>
      <c r="S89" s="20">
        <f>4244+6+332</f>
        <v>4582</v>
      </c>
      <c r="T89" s="20">
        <f>4448+10+419</f>
        <v>4877</v>
      </c>
      <c r="U89" s="20">
        <f>4679+10+429</f>
        <v>5118</v>
      </c>
      <c r="V89" s="20">
        <f>4867+10+257</f>
        <v>5134</v>
      </c>
      <c r="W89" s="20">
        <f>4868+16+246</f>
        <v>5130</v>
      </c>
      <c r="X89" s="61">
        <f>7219-238</f>
        <v>6981</v>
      </c>
      <c r="Y89" s="20">
        <f>4913+17+296</f>
        <v>5226</v>
      </c>
      <c r="Z89" s="61">
        <f>7188-143</f>
        <v>7045</v>
      </c>
      <c r="AA89" s="20">
        <f>4974+17+366</f>
        <v>5357</v>
      </c>
      <c r="AB89" s="66">
        <f>7433-155</f>
        <v>7278</v>
      </c>
      <c r="AC89" s="20">
        <f>5133+25+441</f>
        <v>5599</v>
      </c>
      <c r="AD89" s="61">
        <f>7466-11</f>
        <v>7455</v>
      </c>
      <c r="AE89" s="20">
        <v>5688</v>
      </c>
      <c r="AF89" s="66">
        <v>7379</v>
      </c>
      <c r="AG89" s="20">
        <v>5593</v>
      </c>
      <c r="AH89" s="61">
        <v>7216</v>
      </c>
      <c r="AI89" s="55">
        <v>5516</v>
      </c>
      <c r="AJ89" s="66">
        <v>6985</v>
      </c>
      <c r="AK89" s="1">
        <v>5671</v>
      </c>
      <c r="AL89" s="61">
        <v>7046</v>
      </c>
    </row>
    <row r="90" spans="1:38" ht="12.75" customHeight="1">
      <c r="A90" s="2" t="s">
        <v>70</v>
      </c>
      <c r="B90" s="8">
        <v>0.17127071823204421</v>
      </c>
      <c r="C90" s="9">
        <v>0.23697725605282466</v>
      </c>
      <c r="D90" s="9">
        <v>0.2523879500367377</v>
      </c>
      <c r="E90" s="9">
        <v>0.2573552183338495</v>
      </c>
      <c r="F90" s="9">
        <v>0.26706231454005935</v>
      </c>
      <c r="G90" s="9">
        <v>0.29327199539965498</v>
      </c>
      <c r="H90" s="9">
        <f t="shared" si="14"/>
        <v>0.29930795847750863</v>
      </c>
      <c r="I90" s="9">
        <f t="shared" si="12"/>
        <v>0.26002971768202082</v>
      </c>
      <c r="J90" s="9">
        <f t="shared" si="13"/>
        <v>0.26431326016018986</v>
      </c>
      <c r="K90" s="9">
        <f t="shared" si="11"/>
        <v>0.28226281673541542</v>
      </c>
      <c r="L90" s="9">
        <f>'80pivot'!B29</f>
        <v>0.22839506170000001</v>
      </c>
      <c r="M90" s="9">
        <f>'80pivot'!C29</f>
        <v>0.22798188220000001</v>
      </c>
      <c r="N90" s="9">
        <f>'80pivot'!D29</f>
        <v>0.23356926189999999</v>
      </c>
      <c r="O90" s="9">
        <f>'80pivot'!E29</f>
        <v>5.8956916099999999E-2</v>
      </c>
      <c r="P90" s="46">
        <f>'80pivot'!F29</f>
        <v>0.25060048039999999</v>
      </c>
      <c r="Q90" s="18">
        <v>186</v>
      </c>
      <c r="R90" s="20">
        <v>646</v>
      </c>
      <c r="S90" s="20">
        <v>687</v>
      </c>
      <c r="T90" s="20">
        <f>771+60</f>
        <v>831</v>
      </c>
      <c r="U90" s="20">
        <f>824+76</f>
        <v>900</v>
      </c>
      <c r="V90" s="20">
        <f>885+135</f>
        <v>1020</v>
      </c>
      <c r="W90" s="20">
        <f>901+137</f>
        <v>1038</v>
      </c>
      <c r="X90" s="61">
        <f>3835-367</f>
        <v>3468</v>
      </c>
      <c r="Y90" s="20">
        <v>875</v>
      </c>
      <c r="Z90" s="61">
        <f>3890-525</f>
        <v>3365</v>
      </c>
      <c r="AA90" s="20">
        <v>891</v>
      </c>
      <c r="AB90" s="66">
        <f>3774-403</f>
        <v>3371</v>
      </c>
      <c r="AC90" s="20">
        <f>879+79</f>
        <v>958</v>
      </c>
      <c r="AD90" s="61">
        <f>3850-456</f>
        <v>3394</v>
      </c>
      <c r="AE90" s="20">
        <v>1016</v>
      </c>
      <c r="AF90" s="66">
        <v>3499</v>
      </c>
      <c r="AG90" s="20">
        <v>1071</v>
      </c>
      <c r="AH90" s="61">
        <v>3406</v>
      </c>
      <c r="AI90" s="55">
        <v>1035</v>
      </c>
      <c r="AJ90" s="66">
        <v>3956</v>
      </c>
      <c r="AK90" s="1">
        <v>1031</v>
      </c>
      <c r="AL90" s="61">
        <v>3911</v>
      </c>
    </row>
    <row r="91" spans="1:38" ht="12.75" customHeight="1">
      <c r="A91" s="2" t="s">
        <v>71</v>
      </c>
      <c r="B91" s="8">
        <v>0.45519203413940257</v>
      </c>
      <c r="C91" s="9">
        <v>0.38073394495412843</v>
      </c>
      <c r="D91" s="9">
        <v>0.39769452449567722</v>
      </c>
      <c r="E91" s="9">
        <v>0.36588921282798836</v>
      </c>
      <c r="F91" s="9">
        <v>0.33873343151693669</v>
      </c>
      <c r="G91" s="9">
        <v>0.31872509960159362</v>
      </c>
      <c r="H91" s="9">
        <f t="shared" si="14"/>
        <v>0.33766233766233766</v>
      </c>
      <c r="I91" s="9">
        <f t="shared" si="12"/>
        <v>0.29585798816568049</v>
      </c>
      <c r="J91" s="9">
        <f t="shared" si="13"/>
        <v>0.34601664684898931</v>
      </c>
      <c r="K91" s="9">
        <f t="shared" si="11"/>
        <v>0.3557800224466891</v>
      </c>
      <c r="L91" s="9">
        <f>'80pivot'!B30</f>
        <v>0.23283261799999999</v>
      </c>
      <c r="M91" s="9">
        <f>'80pivot'!C30</f>
        <v>0.20041322310000001</v>
      </c>
      <c r="N91" s="9">
        <f>'80pivot'!D30</f>
        <v>0.20499999999999999</v>
      </c>
      <c r="O91" s="9">
        <f>'80pivot'!E30</f>
        <v>0.20515179389999999</v>
      </c>
      <c r="P91" s="46">
        <f>'80pivot'!F30</f>
        <v>0.19929762949999999</v>
      </c>
      <c r="Q91" s="18">
        <v>320</v>
      </c>
      <c r="R91" s="20">
        <f>235+14</f>
        <v>249</v>
      </c>
      <c r="S91" s="20">
        <f>261+15</f>
        <v>276</v>
      </c>
      <c r="T91" s="20">
        <f>223+28</f>
        <v>251</v>
      </c>
      <c r="U91" s="20">
        <f>191+39</f>
        <v>230</v>
      </c>
      <c r="V91" s="20">
        <f>194+46</f>
        <v>240</v>
      </c>
      <c r="W91" s="20">
        <f>209+51</f>
        <v>260</v>
      </c>
      <c r="X91" s="61">
        <f>785-15</f>
        <v>770</v>
      </c>
      <c r="Y91" s="20">
        <f>216+34</f>
        <v>250</v>
      </c>
      <c r="Z91" s="61">
        <v>845</v>
      </c>
      <c r="AA91" s="20">
        <f>233+58</f>
        <v>291</v>
      </c>
      <c r="AB91" s="66">
        <v>841</v>
      </c>
      <c r="AC91" s="20">
        <f>232+85</f>
        <v>317</v>
      </c>
      <c r="AD91" s="61">
        <v>891</v>
      </c>
      <c r="AE91" s="20">
        <v>325</v>
      </c>
      <c r="AF91" s="66">
        <v>932</v>
      </c>
      <c r="AG91" s="20">
        <v>324</v>
      </c>
      <c r="AH91" s="61">
        <v>962</v>
      </c>
      <c r="AI91" s="55">
        <v>357</v>
      </c>
      <c r="AJ91" s="66">
        <v>1000</v>
      </c>
      <c r="AK91" s="1">
        <v>393</v>
      </c>
      <c r="AL91" s="61">
        <v>1087</v>
      </c>
    </row>
    <row r="92" spans="1:38" ht="12.75" customHeight="1">
      <c r="A92" s="2" t="s">
        <v>72</v>
      </c>
      <c r="B92" s="8">
        <v>0.1420389461626575</v>
      </c>
      <c r="C92" s="9">
        <v>0.20504313205043131</v>
      </c>
      <c r="D92" s="9">
        <v>0.1933287950987066</v>
      </c>
      <c r="E92" s="9">
        <v>0.187248322147651</v>
      </c>
      <c r="F92" s="9">
        <v>0.17844646606018194</v>
      </c>
      <c r="G92" s="9">
        <v>0.18067846607669616</v>
      </c>
      <c r="H92" s="9">
        <f t="shared" si="14"/>
        <v>0.17033773861967694</v>
      </c>
      <c r="I92" s="9">
        <f t="shared" si="12"/>
        <v>0.22135007849293564</v>
      </c>
      <c r="J92" s="9">
        <f t="shared" si="13"/>
        <v>0.24636572302983933</v>
      </c>
      <c r="K92" s="9">
        <f>+AC92/AD92</f>
        <v>0.2599549211119459</v>
      </c>
      <c r="L92" s="9">
        <f>'80pivot'!B31</f>
        <v>0.25779275480000002</v>
      </c>
      <c r="M92" s="9">
        <f>'80pivot'!C31</f>
        <v>0.28735632179999998</v>
      </c>
      <c r="N92" s="9">
        <f>'80pivot'!D31</f>
        <v>0.27438016529999998</v>
      </c>
      <c r="O92" s="9">
        <f>'80pivot'!E31</f>
        <v>0.30378578020000002</v>
      </c>
      <c r="P92" s="46">
        <f>'80pivot'!F31</f>
        <v>0.34056603769999999</v>
      </c>
      <c r="Q92" s="18">
        <v>248</v>
      </c>
      <c r="R92" s="20">
        <f>290+19</f>
        <v>309</v>
      </c>
      <c r="S92" s="20">
        <f>258+26</f>
        <v>284</v>
      </c>
      <c r="T92" s="20">
        <f>247+32</f>
        <v>279</v>
      </c>
      <c r="U92" s="20">
        <f>220+35</f>
        <v>255</v>
      </c>
      <c r="V92" s="20">
        <f>219+26</f>
        <v>245</v>
      </c>
      <c r="W92" s="20">
        <v>232</v>
      </c>
      <c r="X92" s="61">
        <f>1430-68</f>
        <v>1362</v>
      </c>
      <c r="Y92" s="20">
        <v>282</v>
      </c>
      <c r="Z92" s="61">
        <v>1274</v>
      </c>
      <c r="AA92" s="20">
        <f>312+10</f>
        <v>322</v>
      </c>
      <c r="AB92" s="66">
        <f>1310-3</f>
        <v>1307</v>
      </c>
      <c r="AC92" s="20">
        <v>346</v>
      </c>
      <c r="AD92" s="61">
        <v>1331</v>
      </c>
      <c r="AE92" s="20">
        <v>310</v>
      </c>
      <c r="AF92" s="66">
        <v>1187</v>
      </c>
      <c r="AG92" s="20">
        <v>327</v>
      </c>
      <c r="AH92" s="61">
        <v>1131</v>
      </c>
      <c r="AI92" s="55">
        <v>338</v>
      </c>
      <c r="AJ92" s="66">
        <v>1210</v>
      </c>
      <c r="AK92" s="1">
        <v>351</v>
      </c>
      <c r="AL92" s="61">
        <v>1083</v>
      </c>
    </row>
    <row r="93" spans="1:38" ht="12.75" customHeight="1">
      <c r="A93" s="2" t="s">
        <v>73</v>
      </c>
      <c r="B93" s="8">
        <v>0.5811320754716981</v>
      </c>
      <c r="C93" s="9">
        <v>0.29397874852420308</v>
      </c>
      <c r="D93" s="9">
        <v>0.22989593188268684</v>
      </c>
      <c r="E93" s="9">
        <v>0.31049723756906078</v>
      </c>
      <c r="F93" s="9">
        <v>0.27646454265159304</v>
      </c>
      <c r="G93" s="9">
        <v>0.25075834175935285</v>
      </c>
      <c r="H93" s="9">
        <f t="shared" si="14"/>
        <v>0.26864035087719296</v>
      </c>
      <c r="I93" s="9">
        <f t="shared" si="12"/>
        <v>0.28957915831663328</v>
      </c>
      <c r="J93" s="9">
        <f t="shared" si="13"/>
        <v>0.28458498023715417</v>
      </c>
      <c r="K93" s="9">
        <f>+AC93/AD93</f>
        <v>0.31284916201117319</v>
      </c>
      <c r="L93" s="9">
        <f>'80pivot'!B32</f>
        <v>0.28927203070000002</v>
      </c>
      <c r="M93" s="9">
        <f>'80pivot'!C32</f>
        <v>0.27714581179999997</v>
      </c>
      <c r="N93" s="9">
        <f>'80pivot'!D32</f>
        <v>0.29129129129999998</v>
      </c>
      <c r="O93" s="9">
        <f>'80pivot'!E32</f>
        <v>0.27737226279999999</v>
      </c>
      <c r="P93" s="46">
        <f>'80pivot'!F32</f>
        <v>0.27297297300000001</v>
      </c>
      <c r="Q93" s="18">
        <v>462</v>
      </c>
      <c r="R93" s="20">
        <f>204+45</f>
        <v>249</v>
      </c>
      <c r="S93" s="20">
        <f>196+47</f>
        <v>243</v>
      </c>
      <c r="T93" s="20">
        <f>213+68</f>
        <v>281</v>
      </c>
      <c r="U93" s="20">
        <f>208+61</f>
        <v>269</v>
      </c>
      <c r="V93" s="20">
        <f>184+64</f>
        <v>248</v>
      </c>
      <c r="W93" s="20">
        <f>207+38</f>
        <v>245</v>
      </c>
      <c r="X93" s="61">
        <v>912</v>
      </c>
      <c r="Y93" s="20">
        <f>239+50</f>
        <v>289</v>
      </c>
      <c r="Z93" s="61">
        <v>998</v>
      </c>
      <c r="AA93" s="20">
        <f>253+35</f>
        <v>288</v>
      </c>
      <c r="AB93" s="66">
        <v>1012</v>
      </c>
      <c r="AC93" s="20">
        <f>292+44</f>
        <v>336</v>
      </c>
      <c r="AD93" s="61">
        <v>1074</v>
      </c>
      <c r="AE93" s="20">
        <v>335</v>
      </c>
      <c r="AF93" s="66">
        <v>1044</v>
      </c>
      <c r="AG93" s="20">
        <v>293</v>
      </c>
      <c r="AH93" s="61">
        <v>967</v>
      </c>
      <c r="AI93" s="55">
        <v>306</v>
      </c>
      <c r="AJ93" s="66">
        <v>999</v>
      </c>
      <c r="AK93" s="1">
        <v>313</v>
      </c>
      <c r="AL93" s="61">
        <v>1096</v>
      </c>
    </row>
    <row r="94" spans="1:38" ht="12.75" customHeight="1">
      <c r="A94" s="2" t="s">
        <v>23</v>
      </c>
      <c r="B94" s="8">
        <v>0.35750734927061956</v>
      </c>
      <c r="C94" s="9">
        <v>0.38176245210727972</v>
      </c>
      <c r="D94" s="9">
        <v>0.38227963989624131</v>
      </c>
      <c r="E94" s="9">
        <v>0.35726112268333066</v>
      </c>
      <c r="F94" s="9">
        <v>0.3629361354825546</v>
      </c>
      <c r="G94" s="9">
        <v>0.36457207469362646</v>
      </c>
      <c r="H94" s="9">
        <f t="shared" si="14"/>
        <v>0.416499385804596</v>
      </c>
      <c r="I94" s="9">
        <f t="shared" si="12"/>
        <v>0.41736336998306406</v>
      </c>
      <c r="J94" s="9">
        <f t="shared" si="13"/>
        <v>0.43476974392080914</v>
      </c>
      <c r="K94" s="9">
        <f>+AC94/AD94</f>
        <v>0.43114967462039044</v>
      </c>
      <c r="L94" s="9">
        <f>'80pivot'!B8</f>
        <v>0.4085941864</v>
      </c>
      <c r="M94" s="9">
        <f>'80pivot'!C8</f>
        <v>0.41025701790000002</v>
      </c>
      <c r="N94" s="9">
        <f>'80pivot'!D8</f>
        <v>0.38662823940000002</v>
      </c>
      <c r="O94" s="9">
        <f>'80pivot'!E8</f>
        <v>0.38949134120000001</v>
      </c>
      <c r="P94" s="46">
        <f>'80pivot'!F8</f>
        <v>0.3914480206</v>
      </c>
      <c r="Q94" s="18">
        <f t="shared" ref="Q94:V94" si="15">SUM(Q70:Q93)</f>
        <v>12820</v>
      </c>
      <c r="R94" s="20">
        <f t="shared" si="15"/>
        <v>22419</v>
      </c>
      <c r="S94" s="20">
        <f t="shared" si="15"/>
        <v>22548</v>
      </c>
      <c r="T94" s="20">
        <f t="shared" si="15"/>
        <v>20067</v>
      </c>
      <c r="U94" s="20">
        <f t="shared" si="15"/>
        <v>21345</v>
      </c>
      <c r="V94" s="20">
        <f t="shared" si="15"/>
        <v>21925</v>
      </c>
      <c r="W94" s="20">
        <f t="shared" ref="W94:AB94" si="16">SUM(W72:W93)</f>
        <v>27803</v>
      </c>
      <c r="X94" s="61">
        <f t="shared" si="16"/>
        <v>66754</v>
      </c>
      <c r="Y94" s="20">
        <f t="shared" si="16"/>
        <v>31051</v>
      </c>
      <c r="Z94" s="66">
        <f t="shared" si="16"/>
        <v>74398</v>
      </c>
      <c r="AA94" s="20">
        <f t="shared" si="16"/>
        <v>32326</v>
      </c>
      <c r="AB94" s="66">
        <f t="shared" si="16"/>
        <v>74352</v>
      </c>
      <c r="AC94" s="20">
        <f t="shared" ref="AC94:AI94" si="17">SUM(AC70:AC93)</f>
        <v>34783</v>
      </c>
      <c r="AD94" s="66">
        <f t="shared" si="17"/>
        <v>80675</v>
      </c>
      <c r="AE94" s="20">
        <f t="shared" si="17"/>
        <v>36084</v>
      </c>
      <c r="AF94" s="66">
        <f t="shared" si="17"/>
        <v>79414</v>
      </c>
      <c r="AG94" s="20">
        <f t="shared" si="17"/>
        <v>37163</v>
      </c>
      <c r="AH94" s="61">
        <f t="shared" si="17"/>
        <v>80615</v>
      </c>
      <c r="AI94" s="55">
        <f t="shared" si="17"/>
        <v>36915</v>
      </c>
      <c r="AJ94" s="66">
        <f t="shared" ref="AJ94" si="18">SUM(AJ70:AJ93)</f>
        <v>84809</v>
      </c>
      <c r="AK94" s="1">
        <f>SUM(AK70:AK93)</f>
        <v>37585</v>
      </c>
      <c r="AL94" s="61">
        <f>SUM(AL70:AL93)</f>
        <v>86472</v>
      </c>
    </row>
    <row r="95" spans="1:38" ht="12.75" customHeight="1">
      <c r="A95" s="2"/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46"/>
      <c r="Q95" s="18"/>
      <c r="R95" s="20"/>
      <c r="S95" s="20"/>
      <c r="T95" s="20"/>
      <c r="U95" s="20"/>
      <c r="V95" s="20"/>
      <c r="W95" s="20"/>
      <c r="Z95" s="66"/>
      <c r="AA95" s="20"/>
      <c r="AC95" s="20"/>
    </row>
    <row r="96" spans="1:38" ht="45" customHeight="1">
      <c r="A96" s="24" t="s">
        <v>74</v>
      </c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46"/>
      <c r="Q96" s="18"/>
      <c r="R96" s="20"/>
      <c r="S96" s="20"/>
      <c r="T96" s="20"/>
      <c r="U96" s="20"/>
      <c r="V96" s="20"/>
      <c r="W96" s="20"/>
      <c r="Z96" s="66"/>
      <c r="AA96" s="20"/>
      <c r="AC96" s="20"/>
    </row>
    <row r="97" spans="1:38" ht="12.75" customHeight="1">
      <c r="A97" s="19"/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46"/>
      <c r="Q97" s="18"/>
      <c r="R97" s="20"/>
      <c r="S97" s="20"/>
      <c r="T97" s="20"/>
      <c r="U97" s="20"/>
      <c r="V97" s="20"/>
      <c r="W97" s="20"/>
      <c r="Z97" s="66"/>
      <c r="AA97" s="20"/>
      <c r="AC97" s="20"/>
    </row>
    <row r="98" spans="1:38" ht="12.75" customHeight="1">
      <c r="A98" s="2" t="s">
        <v>75</v>
      </c>
      <c r="B98" s="10" t="s">
        <v>29</v>
      </c>
      <c r="C98" s="9">
        <v>0.89836065573770496</v>
      </c>
      <c r="D98" s="9">
        <v>0.85661764705882348</v>
      </c>
      <c r="E98" s="9">
        <v>0.90808823529411764</v>
      </c>
      <c r="F98" s="9">
        <v>0.85530546623794212</v>
      </c>
      <c r="G98" s="9">
        <v>0.84969325153374231</v>
      </c>
      <c r="H98" s="9">
        <f>+W98/X98</f>
        <v>0.86885245901639341</v>
      </c>
      <c r="I98" s="9">
        <f t="shared" si="12"/>
        <v>1</v>
      </c>
      <c r="J98" s="9">
        <f>+AA98/AB98</f>
        <v>0.85925925925925928</v>
      </c>
      <c r="K98" s="9">
        <f t="shared" ref="K98:K108" si="19">+AC98/AD98</f>
        <v>0.89542483660130723</v>
      </c>
      <c r="L98" s="9">
        <f>'80pivot'!B35</f>
        <v>0.81446540879999996</v>
      </c>
      <c r="M98" s="9">
        <f>'80pivot'!C35</f>
        <v>0.76323987540000005</v>
      </c>
      <c r="N98" s="9">
        <f>'80pivot'!D35</f>
        <v>0.68277945620000002</v>
      </c>
      <c r="O98" s="9">
        <f>'80pivot'!E35</f>
        <v>0.66343042070000002</v>
      </c>
      <c r="P98" s="46">
        <f>'80pivot'!F35</f>
        <v>0.73927392739999997</v>
      </c>
      <c r="Q98" s="25" t="s">
        <v>29</v>
      </c>
      <c r="R98" s="20">
        <f>239+35</f>
        <v>274</v>
      </c>
      <c r="S98" s="20">
        <f>203+30</f>
        <v>233</v>
      </c>
      <c r="T98" s="20">
        <f>215+32</f>
        <v>247</v>
      </c>
      <c r="U98" s="20">
        <f>235+31</f>
        <v>266</v>
      </c>
      <c r="V98" s="20">
        <f>251+26</f>
        <v>277</v>
      </c>
      <c r="W98" s="20">
        <f>225+40</f>
        <v>265</v>
      </c>
      <c r="X98" s="61">
        <v>305</v>
      </c>
      <c r="Y98" s="20">
        <f>225+40</f>
        <v>265</v>
      </c>
      <c r="Z98" s="66">
        <f>225+40</f>
        <v>265</v>
      </c>
      <c r="AA98" s="1">
        <f>199+33</f>
        <v>232</v>
      </c>
      <c r="AB98" s="66">
        <v>270</v>
      </c>
      <c r="AC98" s="20">
        <v>274</v>
      </c>
      <c r="AD98" s="61">
        <v>306</v>
      </c>
      <c r="AE98" s="1">
        <v>284</v>
      </c>
      <c r="AF98" s="61">
        <v>318</v>
      </c>
      <c r="AG98" s="1">
        <v>267</v>
      </c>
      <c r="AH98" s="61">
        <v>321</v>
      </c>
      <c r="AI98" s="55">
        <v>257</v>
      </c>
      <c r="AJ98" s="61">
        <v>331</v>
      </c>
      <c r="AK98" s="1">
        <v>205</v>
      </c>
      <c r="AL98" s="61">
        <v>309</v>
      </c>
    </row>
    <row r="99" spans="1:38" ht="12.75" hidden="1" customHeight="1">
      <c r="A99" s="2" t="s">
        <v>76</v>
      </c>
      <c r="B99" s="8">
        <v>0.78688524590163933</v>
      </c>
      <c r="C99" s="9">
        <v>0.56804733727810652</v>
      </c>
      <c r="D99" s="9">
        <v>0.4826086956521739</v>
      </c>
      <c r="E99" s="11" t="s">
        <v>29</v>
      </c>
      <c r="F99" s="11" t="s">
        <v>77</v>
      </c>
      <c r="G99" s="11" t="s">
        <v>77</v>
      </c>
      <c r="H99" s="11" t="s">
        <v>77</v>
      </c>
      <c r="I99" s="11" t="s">
        <v>77</v>
      </c>
      <c r="J99" s="11" t="s">
        <v>77</v>
      </c>
      <c r="K99" s="11" t="s">
        <v>77</v>
      </c>
      <c r="L99" s="9" t="e">
        <f t="shared" ref="L99:L108" si="20">AE99/AF99</f>
        <v>#DIV/0!</v>
      </c>
      <c r="M99" s="9" t="e">
        <f t="shared" ref="M98:M104" si="21">AG99/AH99</f>
        <v>#DIV/0!</v>
      </c>
      <c r="N99" s="9" t="e">
        <f t="shared" ref="N98:N104" si="22">AI99/AJ99</f>
        <v>#DIV/0!</v>
      </c>
      <c r="O99" s="9"/>
      <c r="P99" s="46">
        <f>'80pivot'!F26</f>
        <v>0.1443298969</v>
      </c>
      <c r="Q99" s="18">
        <v>96</v>
      </c>
      <c r="R99" s="20">
        <f>185+7</f>
        <v>192</v>
      </c>
      <c r="S99" s="20">
        <f>103+3+5</f>
        <v>111</v>
      </c>
      <c r="T99" s="26" t="s">
        <v>29</v>
      </c>
      <c r="U99" s="26" t="s">
        <v>77</v>
      </c>
      <c r="V99" s="26" t="s">
        <v>77</v>
      </c>
      <c r="W99" s="26" t="s">
        <v>77</v>
      </c>
      <c r="Y99" s="26" t="s">
        <v>77</v>
      </c>
      <c r="AA99" s="26" t="s">
        <v>77</v>
      </c>
      <c r="AB99" s="67" t="s">
        <v>77</v>
      </c>
      <c r="AC99" s="26" t="s">
        <v>77</v>
      </c>
      <c r="AI99" s="55">
        <v>0</v>
      </c>
    </row>
    <row r="100" spans="1:38" ht="12.75" hidden="1" customHeight="1">
      <c r="A100" s="2" t="s">
        <v>78</v>
      </c>
      <c r="B100" s="10" t="s">
        <v>31</v>
      </c>
      <c r="C100" s="11" t="s">
        <v>31</v>
      </c>
      <c r="D100" s="11" t="s">
        <v>31</v>
      </c>
      <c r="E100" s="11" t="s">
        <v>31</v>
      </c>
      <c r="F100" s="11" t="s">
        <v>31</v>
      </c>
      <c r="G100" s="11" t="s">
        <v>31</v>
      </c>
      <c r="H100" s="11" t="s">
        <v>31</v>
      </c>
      <c r="I100" s="11" t="s">
        <v>31</v>
      </c>
      <c r="J100" s="11" t="s">
        <v>31</v>
      </c>
      <c r="K100" s="11" t="s">
        <v>31</v>
      </c>
      <c r="L100" s="9" t="e">
        <f t="shared" si="20"/>
        <v>#DIV/0!</v>
      </c>
      <c r="M100" s="9" t="e">
        <f t="shared" si="21"/>
        <v>#DIV/0!</v>
      </c>
      <c r="N100" s="9" t="e">
        <f t="shared" si="22"/>
        <v>#DIV/0!</v>
      </c>
      <c r="O100" s="9"/>
      <c r="P100" s="46">
        <f>'80pivot'!F27</f>
        <v>0.4457687723</v>
      </c>
      <c r="Q100" s="11" t="s">
        <v>31</v>
      </c>
      <c r="R100" s="28" t="s">
        <v>31</v>
      </c>
      <c r="S100" s="28" t="s">
        <v>31</v>
      </c>
      <c r="T100" s="28" t="s">
        <v>31</v>
      </c>
      <c r="U100" s="28" t="s">
        <v>31</v>
      </c>
      <c r="V100" s="28" t="s">
        <v>31</v>
      </c>
      <c r="W100" s="26" t="s">
        <v>31</v>
      </c>
      <c r="Y100" s="26" t="s">
        <v>31</v>
      </c>
      <c r="AA100" s="26" t="s">
        <v>31</v>
      </c>
      <c r="AB100" s="67" t="s">
        <v>31</v>
      </c>
      <c r="AC100" s="26" t="s">
        <v>31</v>
      </c>
    </row>
    <row r="101" spans="1:38" ht="12.75" hidden="1" customHeight="1">
      <c r="A101" s="2" t="s">
        <v>79</v>
      </c>
      <c r="B101" s="8">
        <v>1.5625000000000001E-3</v>
      </c>
      <c r="C101" s="11" t="s">
        <v>31</v>
      </c>
      <c r="D101" s="11" t="s">
        <v>31</v>
      </c>
      <c r="E101" s="11" t="s">
        <v>31</v>
      </c>
      <c r="F101" s="11" t="s">
        <v>31</v>
      </c>
      <c r="G101" s="11" t="s">
        <v>31</v>
      </c>
      <c r="H101" s="11" t="s">
        <v>31</v>
      </c>
      <c r="I101" s="11" t="s">
        <v>31</v>
      </c>
      <c r="J101" s="11" t="s">
        <v>31</v>
      </c>
      <c r="K101" s="11" t="s">
        <v>31</v>
      </c>
      <c r="L101" s="9" t="e">
        <f t="shared" si="20"/>
        <v>#DIV/0!</v>
      </c>
      <c r="M101" s="9" t="e">
        <f t="shared" si="21"/>
        <v>#DIV/0!</v>
      </c>
      <c r="N101" s="9" t="e">
        <f t="shared" si="22"/>
        <v>#DIV/0!</v>
      </c>
      <c r="O101" s="9"/>
      <c r="P101" s="46">
        <f>'80pivot'!F28</f>
        <v>0.73662090219999998</v>
      </c>
      <c r="Q101" s="18">
        <v>1</v>
      </c>
      <c r="R101" s="26" t="s">
        <v>31</v>
      </c>
      <c r="S101" s="26" t="s">
        <v>31</v>
      </c>
      <c r="T101" s="26" t="s">
        <v>31</v>
      </c>
      <c r="U101" s="28" t="s">
        <v>31</v>
      </c>
      <c r="V101" s="28" t="s">
        <v>31</v>
      </c>
      <c r="W101" s="26" t="s">
        <v>31</v>
      </c>
      <c r="Y101" s="26" t="s">
        <v>31</v>
      </c>
      <c r="AA101" s="26" t="s">
        <v>31</v>
      </c>
      <c r="AB101" s="67" t="s">
        <v>31</v>
      </c>
      <c r="AC101" s="26" t="s">
        <v>31</v>
      </c>
    </row>
    <row r="102" spans="1:38" ht="12.75" hidden="1" customHeight="1">
      <c r="A102" s="2" t="s">
        <v>80</v>
      </c>
      <c r="B102" s="8">
        <v>0.33576642335766421</v>
      </c>
      <c r="C102" s="11" t="s">
        <v>31</v>
      </c>
      <c r="D102" s="11" t="s">
        <v>31</v>
      </c>
      <c r="E102" s="11" t="s">
        <v>31</v>
      </c>
      <c r="F102" s="11" t="s">
        <v>31</v>
      </c>
      <c r="G102" s="11" t="s">
        <v>31</v>
      </c>
      <c r="H102" s="11" t="s">
        <v>31</v>
      </c>
      <c r="I102" s="11" t="s">
        <v>31</v>
      </c>
      <c r="J102" s="11" t="s">
        <v>31</v>
      </c>
      <c r="K102" s="11" t="s">
        <v>31</v>
      </c>
      <c r="L102" s="9" t="e">
        <f t="shared" si="20"/>
        <v>#DIV/0!</v>
      </c>
      <c r="M102" s="9" t="e">
        <f t="shared" si="21"/>
        <v>#DIV/0!</v>
      </c>
      <c r="N102" s="9" t="e">
        <f t="shared" si="22"/>
        <v>#DIV/0!</v>
      </c>
      <c r="O102" s="9"/>
      <c r="P102" s="46">
        <f>'80pivot'!F29</f>
        <v>0.25060048039999999</v>
      </c>
      <c r="Q102" s="18">
        <v>46</v>
      </c>
      <c r="R102" s="26" t="s">
        <v>31</v>
      </c>
      <c r="S102" s="26" t="s">
        <v>31</v>
      </c>
      <c r="T102" s="26" t="s">
        <v>31</v>
      </c>
      <c r="U102" s="28" t="s">
        <v>31</v>
      </c>
      <c r="V102" s="28" t="s">
        <v>31</v>
      </c>
      <c r="W102" s="26" t="s">
        <v>31</v>
      </c>
      <c r="Y102" s="26" t="s">
        <v>31</v>
      </c>
      <c r="AA102" s="26" t="s">
        <v>31</v>
      </c>
      <c r="AB102" s="67" t="s">
        <v>31</v>
      </c>
      <c r="AC102" s="26" t="s">
        <v>31</v>
      </c>
    </row>
    <row r="103" spans="1:38" ht="12.75" customHeight="1">
      <c r="A103" s="29" t="s">
        <v>81</v>
      </c>
      <c r="B103" s="8">
        <v>0.34051724137931033</v>
      </c>
      <c r="C103" s="9">
        <v>0.21656050955414013</v>
      </c>
      <c r="D103" s="9">
        <v>0.20963172804532579</v>
      </c>
      <c r="E103" s="9">
        <v>0.22190201729106629</v>
      </c>
      <c r="F103" s="9">
        <v>0.2773972602739726</v>
      </c>
      <c r="G103" s="9">
        <v>0.25641025641025639</v>
      </c>
      <c r="H103" s="9">
        <f>+W103/X103</f>
        <v>0.17777777777777778</v>
      </c>
      <c r="I103" s="9">
        <f t="shared" si="12"/>
        <v>0.11438474870017332</v>
      </c>
      <c r="J103" s="9">
        <f>+AA103/AB103</f>
        <v>0.15185783521809371</v>
      </c>
      <c r="K103" s="9">
        <f t="shared" si="19"/>
        <v>0.25905292479108633</v>
      </c>
      <c r="L103" s="9">
        <f>'80pivot'!B36</f>
        <v>0.22580645160000001</v>
      </c>
      <c r="M103" s="9">
        <f>'80pivot'!C36</f>
        <v>0.12730465320000001</v>
      </c>
      <c r="N103" s="9" t="s">
        <v>97</v>
      </c>
      <c r="O103" s="9" t="s">
        <v>97</v>
      </c>
      <c r="P103" s="46">
        <f>'80pivot'!F36</f>
        <v>5.7205720600000003E-2</v>
      </c>
      <c r="Q103" s="18">
        <v>79</v>
      </c>
      <c r="R103" s="20">
        <v>68</v>
      </c>
      <c r="S103" s="20">
        <v>74</v>
      </c>
      <c r="T103" s="20">
        <v>77</v>
      </c>
      <c r="U103" s="26">
        <f>62+1+18</f>
        <v>81</v>
      </c>
      <c r="V103" s="26">
        <f>48+8+24</f>
        <v>80</v>
      </c>
      <c r="W103" s="20">
        <v>40</v>
      </c>
      <c r="X103" s="61">
        <v>225</v>
      </c>
      <c r="Y103" s="20">
        <f>57+8+1</f>
        <v>66</v>
      </c>
      <c r="Z103" s="61">
        <f>583-6</f>
        <v>577</v>
      </c>
      <c r="AA103" s="1">
        <f>65+4+25</f>
        <v>94</v>
      </c>
      <c r="AB103" s="66">
        <v>619</v>
      </c>
      <c r="AC103" s="20">
        <f>78+1+14</f>
        <v>93</v>
      </c>
      <c r="AD103" s="61">
        <v>359</v>
      </c>
      <c r="AE103" s="1">
        <v>64</v>
      </c>
      <c r="AF103" s="61">
        <v>248</v>
      </c>
      <c r="AG103" s="1">
        <v>246</v>
      </c>
      <c r="AH103" s="61">
        <v>1125</v>
      </c>
      <c r="AI103" s="55" t="s">
        <v>97</v>
      </c>
      <c r="AJ103" s="61">
        <v>1588</v>
      </c>
      <c r="AK103" s="1" t="s">
        <v>97</v>
      </c>
      <c r="AL103" s="61" t="s">
        <v>97</v>
      </c>
    </row>
    <row r="104" spans="1:38" ht="12.75" customHeight="1">
      <c r="A104" s="2" t="s">
        <v>23</v>
      </c>
      <c r="B104" s="8">
        <v>0.19628647214854111</v>
      </c>
      <c r="C104" s="9">
        <v>0.55799373040752354</v>
      </c>
      <c r="D104" s="9">
        <v>0.48888888888888887</v>
      </c>
      <c r="E104" s="9">
        <v>0.52342487883683364</v>
      </c>
      <c r="F104" s="9">
        <v>0.57545605306799341</v>
      </c>
      <c r="G104" s="9">
        <v>0.55956112852664575</v>
      </c>
      <c r="H104" s="9">
        <f>+W104/X104</f>
        <v>0.57547169811320753</v>
      </c>
      <c r="I104" s="9">
        <f t="shared" si="12"/>
        <v>0.39311163895486934</v>
      </c>
      <c r="J104" s="9">
        <f>+AA104/AB104</f>
        <v>0.36670416197975253</v>
      </c>
      <c r="K104" s="9">
        <f t="shared" si="19"/>
        <v>0.5518796992481203</v>
      </c>
      <c r="L104" s="9">
        <f>'80pivot'!B34</f>
        <v>0.55653710249999999</v>
      </c>
      <c r="M104" s="9">
        <f>'80pivot'!C34</f>
        <v>0.26712328769999999</v>
      </c>
      <c r="N104" s="9">
        <f>'80pivot'!D34</f>
        <v>0.68277945620000002</v>
      </c>
      <c r="O104" s="9">
        <f>'80pivot'!E34</f>
        <v>0.66343042070000002</v>
      </c>
      <c r="P104" s="46">
        <f>'80pivot'!F34</f>
        <v>0.22772277229999999</v>
      </c>
      <c r="Q104" s="18">
        <f t="shared" ref="Q104:V104" si="23">SUM(Q98:Q103)</f>
        <v>222</v>
      </c>
      <c r="R104" s="20">
        <f t="shared" si="23"/>
        <v>534</v>
      </c>
      <c r="S104" s="20">
        <f t="shared" si="23"/>
        <v>418</v>
      </c>
      <c r="T104" s="20">
        <f t="shared" si="23"/>
        <v>324</v>
      </c>
      <c r="U104" s="20">
        <f t="shared" si="23"/>
        <v>347</v>
      </c>
      <c r="V104" s="20">
        <f t="shared" si="23"/>
        <v>357</v>
      </c>
      <c r="W104" s="20">
        <f t="shared" ref="W104:AB104" si="24">SUM(W98:W103)</f>
        <v>305</v>
      </c>
      <c r="X104" s="61">
        <f t="shared" si="24"/>
        <v>530</v>
      </c>
      <c r="Y104" s="20">
        <f t="shared" si="24"/>
        <v>331</v>
      </c>
      <c r="Z104" s="66">
        <f t="shared" si="24"/>
        <v>842</v>
      </c>
      <c r="AA104" s="20">
        <f t="shared" si="24"/>
        <v>326</v>
      </c>
      <c r="AB104" s="66">
        <f t="shared" si="24"/>
        <v>889</v>
      </c>
      <c r="AC104" s="20">
        <f t="shared" ref="AC104:AI104" si="25">SUM(AC98:AC103)</f>
        <v>367</v>
      </c>
      <c r="AD104" s="66">
        <f t="shared" si="25"/>
        <v>665</v>
      </c>
      <c r="AE104" s="20">
        <f t="shared" si="25"/>
        <v>348</v>
      </c>
      <c r="AF104" s="66">
        <f t="shared" si="25"/>
        <v>566</v>
      </c>
      <c r="AG104" s="1">
        <f t="shared" si="25"/>
        <v>513</v>
      </c>
      <c r="AH104" s="61">
        <f t="shared" si="25"/>
        <v>1446</v>
      </c>
      <c r="AI104" s="55">
        <f t="shared" si="25"/>
        <v>257</v>
      </c>
      <c r="AJ104" s="61">
        <f t="shared" ref="AJ104" si="26">SUM(AJ98:AJ103)</f>
        <v>1919</v>
      </c>
      <c r="AK104" s="1">
        <f>SUM(AK98:AK103)</f>
        <v>205</v>
      </c>
      <c r="AL104" s="61">
        <f>SUM(AL98:AL103)</f>
        <v>309</v>
      </c>
    </row>
    <row r="105" spans="1:38" ht="12.75" customHeight="1">
      <c r="A105" s="2"/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46"/>
      <c r="Q105" s="18"/>
      <c r="R105" s="20"/>
      <c r="S105" s="20"/>
      <c r="T105" s="20"/>
      <c r="U105" s="20"/>
      <c r="V105" s="20"/>
      <c r="W105" s="20"/>
      <c r="Z105" s="66"/>
      <c r="AA105" s="20"/>
      <c r="AC105" s="20"/>
    </row>
    <row r="106" spans="1:38" ht="31.5" customHeight="1">
      <c r="A106" s="30" t="s">
        <v>82</v>
      </c>
      <c r="B106" s="38">
        <v>0.35260426470192802</v>
      </c>
      <c r="C106" s="39">
        <v>0.38458831808585503</v>
      </c>
      <c r="D106" s="39">
        <v>0.38380293459005982</v>
      </c>
      <c r="E106" s="39">
        <v>0.35907233922659715</v>
      </c>
      <c r="F106" s="39">
        <v>0.36509298998569384</v>
      </c>
      <c r="G106" s="39">
        <v>0.36661895124800498</v>
      </c>
      <c r="H106" s="39">
        <f>+W106/X106</f>
        <v>0.417751619998811</v>
      </c>
      <c r="I106" s="39">
        <f t="shared" si="12"/>
        <v>0.41709197235513024</v>
      </c>
      <c r="J106" s="39">
        <f>+AA106/AB106</f>
        <v>0.43396552411584111</v>
      </c>
      <c r="K106" s="39">
        <f t="shared" si="19"/>
        <v>0.43213671010572902</v>
      </c>
      <c r="L106" s="39">
        <f>'80pivot'!B6</f>
        <v>0.40960397469999998</v>
      </c>
      <c r="M106" s="39">
        <f>'80pivot'!C6</f>
        <v>0.4078228559</v>
      </c>
      <c r="N106" s="39">
        <f>'80pivot'!D6</f>
        <v>0.38774510359999997</v>
      </c>
      <c r="O106" s="39">
        <f>'80pivot'!E6</f>
        <v>0.39048762399999998</v>
      </c>
      <c r="P106" s="47">
        <f>'80pivot'!F6</f>
        <v>0.38929107149999997</v>
      </c>
      <c r="Q106" s="40">
        <f>SUM(Q94+Q104)</f>
        <v>13042</v>
      </c>
      <c r="R106" s="41">
        <f>SUM(R104+R94)</f>
        <v>22953</v>
      </c>
      <c r="S106" s="41">
        <f>SUM(S104+S94)</f>
        <v>22966</v>
      </c>
      <c r="T106" s="41">
        <f>SUM(T104+T94)</f>
        <v>20391</v>
      </c>
      <c r="U106" s="41">
        <f>SUM(U104+U94)</f>
        <v>21692</v>
      </c>
      <c r="V106" s="41">
        <f>SUM(V104+V94)</f>
        <v>22282</v>
      </c>
      <c r="W106" s="41">
        <f t="shared" ref="W106:AB106" si="27">SUM(W94+W104)</f>
        <v>28108</v>
      </c>
      <c r="X106" s="72">
        <f t="shared" si="27"/>
        <v>67284</v>
      </c>
      <c r="Y106" s="41">
        <f t="shared" si="27"/>
        <v>31382</v>
      </c>
      <c r="Z106" s="70">
        <f t="shared" si="27"/>
        <v>75240</v>
      </c>
      <c r="AA106" s="41">
        <f t="shared" si="27"/>
        <v>32652</v>
      </c>
      <c r="AB106" s="70">
        <f t="shared" si="27"/>
        <v>75241</v>
      </c>
      <c r="AC106" s="41">
        <f>SUM(AC94+AC104)</f>
        <v>35150</v>
      </c>
      <c r="AD106" s="70">
        <f>SUM(AD94+AD104)</f>
        <v>81340</v>
      </c>
      <c r="AE106" s="41">
        <f>SUM(AE94+AE104)</f>
        <v>36432</v>
      </c>
      <c r="AF106" s="70">
        <f>SUM(AF94+AF104)</f>
        <v>79980</v>
      </c>
      <c r="AG106" s="41">
        <f>AG104+AG94</f>
        <v>37676</v>
      </c>
      <c r="AH106" s="72">
        <f>AH104+AH94</f>
        <v>82061</v>
      </c>
      <c r="AI106" s="60">
        <f>AI104+AI94</f>
        <v>37172</v>
      </c>
      <c r="AJ106" s="70">
        <f>AJ104+AJ94</f>
        <v>86728</v>
      </c>
      <c r="AK106" s="6">
        <f>SUM(AK104,AK94)</f>
        <v>37790</v>
      </c>
      <c r="AL106" s="72">
        <f>SUM(AL104,AL94)</f>
        <v>86781</v>
      </c>
    </row>
    <row r="107" spans="1:38" ht="12.75" customHeight="1">
      <c r="A107" s="17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46"/>
      <c r="Q107" s="18"/>
      <c r="R107" s="20"/>
      <c r="S107" s="20"/>
      <c r="T107" s="20"/>
      <c r="U107" s="20"/>
      <c r="V107" s="20"/>
      <c r="W107" s="20"/>
      <c r="Z107" s="66"/>
      <c r="AA107" s="20"/>
      <c r="AC107" s="20"/>
      <c r="AD107" s="66"/>
      <c r="AE107" s="20"/>
      <c r="AF107" s="66"/>
      <c r="AJ107" s="79"/>
    </row>
    <row r="108" spans="1:38" ht="12.75" customHeight="1" thickBot="1">
      <c r="A108" s="49" t="s">
        <v>83</v>
      </c>
      <c r="B108" s="9">
        <v>0.13593148880105402</v>
      </c>
      <c r="C108" s="9">
        <v>0.17136258259457676</v>
      </c>
      <c r="D108" s="9">
        <v>0.17043048996837531</v>
      </c>
      <c r="E108" s="9">
        <v>0.16099885773935066</v>
      </c>
      <c r="F108" s="9">
        <v>0.16376342964431001</v>
      </c>
      <c r="G108" s="9">
        <v>0.16139582933511909</v>
      </c>
      <c r="H108" s="9">
        <f>+W108/X108</f>
        <v>0.17944967937403258</v>
      </c>
      <c r="I108" s="9">
        <f t="shared" si="12"/>
        <v>0.18408504591582794</v>
      </c>
      <c r="J108" s="9">
        <f>+AA108/AB108</f>
        <v>0.18853003595278681</v>
      </c>
      <c r="K108" s="9">
        <f t="shared" si="19"/>
        <v>0.1928580613163357</v>
      </c>
      <c r="L108" s="9">
        <f t="shared" si="20"/>
        <v>0.20097080238287857</v>
      </c>
      <c r="M108" s="9">
        <f>AG108/AH108</f>
        <v>0.20087292285346545</v>
      </c>
      <c r="N108" s="51">
        <f>AI108/AJ108</f>
        <v>0.19586228311920195</v>
      </c>
      <c r="O108" s="51">
        <f>AK108/AL108</f>
        <v>0.19148538573712012</v>
      </c>
      <c r="P108" s="46">
        <v>0.16</v>
      </c>
      <c r="Q108" s="18">
        <f t="shared" ref="Q108:V108" si="28">Q106+Q52</f>
        <v>25722</v>
      </c>
      <c r="R108" s="18">
        <f t="shared" si="28"/>
        <v>39472</v>
      </c>
      <c r="S108" s="18">
        <f t="shared" si="28"/>
        <v>39772</v>
      </c>
      <c r="T108" s="18">
        <f t="shared" si="28"/>
        <v>37633</v>
      </c>
      <c r="U108" s="18">
        <f t="shared" si="28"/>
        <v>39250</v>
      </c>
      <c r="V108" s="18">
        <f t="shared" si="28"/>
        <v>39526</v>
      </c>
      <c r="W108" s="20">
        <f t="shared" ref="W108:AF108" si="29">SUM(W106+W52)</f>
        <v>46258</v>
      </c>
      <c r="X108" s="61">
        <f t="shared" si="29"/>
        <v>257777</v>
      </c>
      <c r="Y108" s="20">
        <f t="shared" si="29"/>
        <v>48451</v>
      </c>
      <c r="Z108" s="66">
        <f t="shared" si="29"/>
        <v>263199</v>
      </c>
      <c r="AA108" s="20">
        <f t="shared" si="29"/>
        <v>49659</v>
      </c>
      <c r="AB108" s="66">
        <f t="shared" si="29"/>
        <v>263401</v>
      </c>
      <c r="AC108" s="20">
        <f t="shared" si="29"/>
        <v>52495</v>
      </c>
      <c r="AD108" s="66">
        <f t="shared" si="29"/>
        <v>272195</v>
      </c>
      <c r="AE108" s="20">
        <f t="shared" si="29"/>
        <v>54652</v>
      </c>
      <c r="AF108" s="66">
        <f t="shared" si="29"/>
        <v>271940</v>
      </c>
      <c r="AG108" s="20">
        <f>AG106+AG52</f>
        <v>55872</v>
      </c>
      <c r="AH108" s="66">
        <f>AH106+AH52</f>
        <v>278146</v>
      </c>
      <c r="AI108" s="59">
        <f>AI106+AI52</f>
        <v>55506</v>
      </c>
      <c r="AJ108" s="69">
        <f>AJ106+AJ52</f>
        <v>283393</v>
      </c>
      <c r="AK108" s="50">
        <f>AK106+AK52</f>
        <v>57383</v>
      </c>
      <c r="AL108" s="62">
        <f>SUM(AL94,AL52)</f>
        <v>299673</v>
      </c>
    </row>
    <row r="109" spans="1:38" ht="12.75" customHeight="1" thickTop="1">
      <c r="A109" s="32" t="s">
        <v>47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4"/>
      <c r="R109" s="34"/>
      <c r="S109" s="34"/>
      <c r="T109" s="34"/>
      <c r="U109" s="34"/>
      <c r="V109" s="34"/>
      <c r="W109" s="32"/>
      <c r="X109" s="71"/>
      <c r="Y109" s="34"/>
      <c r="Z109" s="71"/>
      <c r="AA109" s="32"/>
      <c r="AB109" s="75"/>
      <c r="AC109" s="34"/>
      <c r="AD109" s="71"/>
      <c r="AE109" s="32"/>
      <c r="AF109" s="71"/>
      <c r="AG109" s="32"/>
      <c r="AH109" s="71"/>
      <c r="AI109" s="57"/>
      <c r="AJ109" s="71"/>
    </row>
    <row r="110" spans="1:38" ht="12.75" customHeight="1">
      <c r="A110" s="19" t="s">
        <v>84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20"/>
      <c r="R110" s="20"/>
      <c r="S110" s="20"/>
      <c r="T110" s="20"/>
      <c r="U110" s="20"/>
      <c r="V110" s="20"/>
      <c r="AC110" s="20"/>
    </row>
    <row r="111" spans="1:38" ht="12.75" customHeight="1">
      <c r="A111" s="19" t="s">
        <v>48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20"/>
      <c r="R111" s="20"/>
      <c r="S111" s="20"/>
      <c r="T111" s="20"/>
      <c r="U111" s="20"/>
      <c r="V111" s="20"/>
      <c r="AC111" s="20"/>
    </row>
    <row r="112" spans="1:38" ht="23.25" customHeight="1">
      <c r="A112" s="95" t="s">
        <v>100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0"/>
      <c r="Q112" s="20"/>
      <c r="R112" s="20"/>
      <c r="S112" s="20"/>
      <c r="T112" s="20"/>
      <c r="U112" s="20"/>
      <c r="V112" s="20"/>
      <c r="AC112" s="20"/>
    </row>
    <row r="113" spans="1:29" ht="12.75" customHeight="1">
      <c r="A113" s="19" t="s">
        <v>49</v>
      </c>
      <c r="AC113" s="20"/>
    </row>
    <row r="114" spans="1:29" ht="12.75" customHeight="1">
      <c r="A114" s="31"/>
      <c r="AC114" s="20"/>
    </row>
    <row r="115" spans="1:29" ht="12.75" customHeight="1">
      <c r="AC115" s="20"/>
    </row>
    <row r="116" spans="1:29" ht="12.75" customHeight="1">
      <c r="AC116" s="20"/>
    </row>
    <row r="117" spans="1:29" ht="12.75" customHeight="1">
      <c r="AC117" s="20"/>
    </row>
    <row r="118" spans="1:29" ht="12.75" customHeight="1">
      <c r="AC118" s="20"/>
    </row>
    <row r="119" spans="1:29" ht="12.75" customHeight="1">
      <c r="AC119" s="20"/>
    </row>
    <row r="120" spans="1:29" ht="12.75" customHeight="1">
      <c r="AC120" s="20"/>
    </row>
    <row r="121" spans="1:29" ht="12.75" customHeight="1">
      <c r="AC121" s="20"/>
    </row>
    <row r="122" spans="1:29" ht="12.75" customHeight="1">
      <c r="AC122" s="20"/>
    </row>
    <row r="123" spans="1:29" ht="12.75" customHeight="1">
      <c r="AC123" s="20"/>
    </row>
    <row r="124" spans="1:29" ht="12.75" customHeight="1">
      <c r="AC124" s="20"/>
    </row>
    <row r="125" spans="1:29" ht="12.75" customHeight="1">
      <c r="AC125" s="20"/>
    </row>
    <row r="126" spans="1:29" ht="12.75" customHeight="1">
      <c r="AC126" s="20"/>
    </row>
    <row r="127" spans="1:29" ht="12.75" customHeight="1">
      <c r="AC127" s="20"/>
    </row>
    <row r="128" spans="1:29" ht="12.75" customHeight="1">
      <c r="AC128" s="20"/>
    </row>
    <row r="129" spans="29:29" ht="12.75" customHeight="1">
      <c r="AC129" s="20"/>
    </row>
    <row r="130" spans="29:29" ht="12.75" customHeight="1">
      <c r="AC130" s="20"/>
    </row>
    <row r="131" spans="29:29" ht="12.75" customHeight="1">
      <c r="AC131" s="20"/>
    </row>
    <row r="132" spans="29:29" ht="12.75" customHeight="1">
      <c r="AC132" s="20"/>
    </row>
    <row r="133" spans="29:29" ht="12.75" customHeight="1">
      <c r="AC133" s="20"/>
    </row>
    <row r="134" spans="29:29" ht="12.75" customHeight="1">
      <c r="AC134" s="20"/>
    </row>
    <row r="135" spans="29:29" ht="12.75" customHeight="1">
      <c r="AC135" s="20"/>
    </row>
    <row r="136" spans="29:29" ht="12.75" customHeight="1">
      <c r="AC136" s="20"/>
    </row>
    <row r="137" spans="29:29" ht="12.75" customHeight="1">
      <c r="AC137" s="20"/>
    </row>
    <row r="138" spans="29:29" ht="12.75" customHeight="1">
      <c r="AC138" s="20"/>
    </row>
    <row r="139" spans="29:29" ht="12.75" customHeight="1">
      <c r="AC139" s="20"/>
    </row>
    <row r="140" spans="29:29" ht="12.75" customHeight="1">
      <c r="AC140" s="20"/>
    </row>
    <row r="141" spans="29:29" ht="12.75" customHeight="1">
      <c r="AC141" s="20"/>
    </row>
    <row r="142" spans="29:29" ht="12.75" customHeight="1">
      <c r="AC142" s="20"/>
    </row>
    <row r="143" spans="29:29" ht="12.75" customHeight="1">
      <c r="AC143" s="20"/>
    </row>
    <row r="144" spans="29:29" ht="12.75" customHeight="1">
      <c r="AC144" s="20"/>
    </row>
    <row r="145" spans="29:29" ht="12.75" customHeight="1">
      <c r="AC145" s="20"/>
    </row>
    <row r="146" spans="29:29" ht="12.75" customHeight="1">
      <c r="AC146" s="20"/>
    </row>
    <row r="147" spans="29:29" ht="12.75" customHeight="1">
      <c r="AC147" s="20"/>
    </row>
    <row r="148" spans="29:29" ht="12.75" customHeight="1">
      <c r="AC148" s="20"/>
    </row>
    <row r="149" spans="29:29" ht="12.75" customHeight="1">
      <c r="AC149" s="20"/>
    </row>
    <row r="150" spans="29:29" ht="12.75" customHeight="1">
      <c r="AC150" s="20"/>
    </row>
    <row r="151" spans="29:29" ht="12.75" customHeight="1">
      <c r="AC151" s="20"/>
    </row>
    <row r="152" spans="29:29" ht="12.75" customHeight="1">
      <c r="AC152" s="20"/>
    </row>
    <row r="153" spans="29:29" ht="12.75" customHeight="1">
      <c r="AC153" s="20"/>
    </row>
    <row r="154" spans="29:29" ht="12.75" customHeight="1">
      <c r="AC154" s="20"/>
    </row>
    <row r="155" spans="29:29" ht="12.75" customHeight="1">
      <c r="AC155" s="20"/>
    </row>
    <row r="156" spans="29:29" ht="12.75" customHeight="1">
      <c r="AC156" s="20"/>
    </row>
    <row r="157" spans="29:29" ht="12.75" customHeight="1">
      <c r="AC157" s="20"/>
    </row>
    <row r="158" spans="29:29" ht="12.75" customHeight="1">
      <c r="AC158" s="20"/>
    </row>
    <row r="159" spans="29:29" ht="12.75" customHeight="1">
      <c r="AC159" s="20"/>
    </row>
    <row r="160" spans="29:29" ht="12.75" customHeight="1">
      <c r="AC160" s="20"/>
    </row>
    <row r="161" spans="29:29" ht="12.75" customHeight="1">
      <c r="AC161" s="20"/>
    </row>
    <row r="162" spans="29:29" ht="12.75" customHeight="1">
      <c r="AC162" s="20"/>
    </row>
    <row r="163" spans="29:29" ht="12.75" customHeight="1">
      <c r="AC163" s="20"/>
    </row>
    <row r="164" spans="29:29" ht="12.75" customHeight="1">
      <c r="AC164" s="20"/>
    </row>
    <row r="165" spans="29:29" ht="12.75" customHeight="1">
      <c r="AC165" s="20"/>
    </row>
    <row r="166" spans="29:29" ht="12.75" customHeight="1">
      <c r="AC166" s="20"/>
    </row>
    <row r="167" spans="29:29" ht="12.75" customHeight="1">
      <c r="AC167" s="20"/>
    </row>
    <row r="168" spans="29:29" ht="12.75" customHeight="1">
      <c r="AC168" s="20"/>
    </row>
    <row r="169" spans="29:29" ht="12.75" customHeight="1">
      <c r="AC169" s="20"/>
    </row>
    <row r="170" spans="29:29" ht="12.75" customHeight="1">
      <c r="AC170" s="20"/>
    </row>
    <row r="171" spans="29:29" ht="12.75" customHeight="1">
      <c r="AC171" s="20"/>
    </row>
    <row r="172" spans="29:29" ht="12.75" customHeight="1">
      <c r="AC172" s="20"/>
    </row>
    <row r="173" spans="29:29" ht="12.75" customHeight="1">
      <c r="AC173" s="20"/>
    </row>
    <row r="174" spans="29:29" ht="12.75" customHeight="1">
      <c r="AC174" s="20"/>
    </row>
    <row r="175" spans="29:29" ht="12.75" customHeight="1">
      <c r="AC175" s="20"/>
    </row>
    <row r="176" spans="29:29" ht="12.75" customHeight="1">
      <c r="AC176" s="20"/>
    </row>
    <row r="177" spans="29:29" ht="12.75" customHeight="1">
      <c r="AC177" s="20"/>
    </row>
    <row r="178" spans="29:29" ht="12.75" customHeight="1">
      <c r="AC178" s="20"/>
    </row>
    <row r="179" spans="29:29" ht="12.75" customHeight="1">
      <c r="AC179" s="20"/>
    </row>
    <row r="180" spans="29:29" ht="12.75" customHeight="1">
      <c r="AC180" s="20"/>
    </row>
    <row r="181" spans="29:29" ht="12.75" customHeight="1">
      <c r="AC181" s="20"/>
    </row>
    <row r="182" spans="29:29" ht="12.75" customHeight="1">
      <c r="AC182" s="20"/>
    </row>
    <row r="183" spans="29:29" ht="12.75" customHeight="1">
      <c r="AC183" s="20"/>
    </row>
    <row r="184" spans="29:29" ht="12.75" customHeight="1">
      <c r="AC184" s="20"/>
    </row>
    <row r="185" spans="29:29" ht="12.75" customHeight="1">
      <c r="AC185" s="20"/>
    </row>
    <row r="186" spans="29:29" ht="12.75" customHeight="1">
      <c r="AC186" s="20"/>
    </row>
    <row r="187" spans="29:29" ht="12.75" customHeight="1">
      <c r="AC187" s="20"/>
    </row>
    <row r="188" spans="29:29" ht="12.75" customHeight="1">
      <c r="AC188" s="20"/>
    </row>
    <row r="189" spans="29:29" ht="12.75" customHeight="1">
      <c r="AC189" s="20"/>
    </row>
    <row r="190" spans="29:29" ht="12.75" customHeight="1">
      <c r="AC190" s="20"/>
    </row>
    <row r="191" spans="29:29" ht="12.75" customHeight="1">
      <c r="AC191" s="20"/>
    </row>
    <row r="192" spans="29:29" ht="12.75" customHeight="1">
      <c r="AC192" s="20"/>
    </row>
    <row r="193" spans="29:29" ht="12.75" customHeight="1">
      <c r="AC193" s="20"/>
    </row>
    <row r="194" spans="29:29" ht="12.75" customHeight="1">
      <c r="AC194" s="20"/>
    </row>
    <row r="195" spans="29:29" ht="12.75" customHeight="1">
      <c r="AC195" s="20"/>
    </row>
    <row r="196" spans="29:29" ht="12.75" customHeight="1">
      <c r="AC196" s="20"/>
    </row>
    <row r="197" spans="29:29" ht="12.75" customHeight="1">
      <c r="AC197" s="20"/>
    </row>
    <row r="198" spans="29:29" ht="12.75" customHeight="1">
      <c r="AC198" s="20"/>
    </row>
    <row r="199" spans="29:29" ht="12.75" customHeight="1">
      <c r="AC199" s="20"/>
    </row>
    <row r="200" spans="29:29" ht="12.75" customHeight="1">
      <c r="AC200" s="20"/>
    </row>
    <row r="201" spans="29:29" ht="12.75" customHeight="1">
      <c r="AC201" s="20"/>
    </row>
    <row r="202" spans="29:29" ht="12.75" customHeight="1">
      <c r="AC202" s="20"/>
    </row>
    <row r="203" spans="29:29" ht="12.75" customHeight="1">
      <c r="AC203" s="20"/>
    </row>
    <row r="204" spans="29:29">
      <c r="AC204" s="20"/>
    </row>
    <row r="205" spans="29:29">
      <c r="AC205" s="20"/>
    </row>
    <row r="206" spans="29:29">
      <c r="AC206" s="20"/>
    </row>
    <row r="207" spans="29:29">
      <c r="AC207" s="20"/>
    </row>
    <row r="208" spans="29:29">
      <c r="AC208" s="20"/>
    </row>
    <row r="209" spans="29:29">
      <c r="AC209" s="20"/>
    </row>
    <row r="210" spans="29:29">
      <c r="AC210" s="20"/>
    </row>
    <row r="211" spans="29:29">
      <c r="AC211" s="20"/>
    </row>
    <row r="212" spans="29:29">
      <c r="AC212" s="20"/>
    </row>
    <row r="213" spans="29:29">
      <c r="AC213" s="20"/>
    </row>
    <row r="214" spans="29:29">
      <c r="AC214" s="20"/>
    </row>
    <row r="215" spans="29:29">
      <c r="AC215" s="20"/>
    </row>
    <row r="216" spans="29:29">
      <c r="AC216" s="20"/>
    </row>
    <row r="217" spans="29:29">
      <c r="AC217" s="20"/>
    </row>
    <row r="218" spans="29:29">
      <c r="AC218" s="20"/>
    </row>
    <row r="219" spans="29:29">
      <c r="AC219" s="20"/>
    </row>
    <row r="220" spans="29:29">
      <c r="AC220" s="20"/>
    </row>
    <row r="221" spans="29:29">
      <c r="AC221" s="20"/>
    </row>
    <row r="222" spans="29:29">
      <c r="AC222" s="20"/>
    </row>
    <row r="223" spans="29:29">
      <c r="AC223" s="20"/>
    </row>
    <row r="224" spans="29:29">
      <c r="AC224" s="20"/>
    </row>
    <row r="225" spans="29:29">
      <c r="AC225" s="20"/>
    </row>
    <row r="226" spans="29:29">
      <c r="AC226" s="20"/>
    </row>
    <row r="227" spans="29:29">
      <c r="AC227" s="20"/>
    </row>
    <row r="228" spans="29:29">
      <c r="AC228" s="20"/>
    </row>
    <row r="229" spans="29:29">
      <c r="AC229" s="20"/>
    </row>
    <row r="230" spans="29:29">
      <c r="AC230" s="20"/>
    </row>
    <row r="231" spans="29:29">
      <c r="AC231" s="20"/>
    </row>
    <row r="232" spans="29:29">
      <c r="AC232" s="20"/>
    </row>
    <row r="233" spans="29:29">
      <c r="AC233" s="20"/>
    </row>
    <row r="234" spans="29:29">
      <c r="AC234" s="20"/>
    </row>
    <row r="235" spans="29:29">
      <c r="AC235" s="20"/>
    </row>
    <row r="236" spans="29:29">
      <c r="AC236" s="20"/>
    </row>
    <row r="237" spans="29:29">
      <c r="AC237" s="20"/>
    </row>
    <row r="238" spans="29:29">
      <c r="AC238" s="20"/>
    </row>
    <row r="239" spans="29:29">
      <c r="AC239" s="20"/>
    </row>
    <row r="240" spans="29:29">
      <c r="AC240" s="20"/>
    </row>
    <row r="241" spans="29:29">
      <c r="AC241" s="20"/>
    </row>
    <row r="242" spans="29:29">
      <c r="AC242" s="20"/>
    </row>
    <row r="243" spans="29:29">
      <c r="AC243" s="20"/>
    </row>
    <row r="244" spans="29:29">
      <c r="AC244" s="20"/>
    </row>
    <row r="245" spans="29:29">
      <c r="AC245" s="20"/>
    </row>
    <row r="246" spans="29:29">
      <c r="AC246" s="20"/>
    </row>
    <row r="247" spans="29:29">
      <c r="AC247" s="20"/>
    </row>
    <row r="248" spans="29:29">
      <c r="AC248" s="20"/>
    </row>
    <row r="249" spans="29:29">
      <c r="AC249" s="20"/>
    </row>
    <row r="250" spans="29:29">
      <c r="AC250" s="20"/>
    </row>
    <row r="251" spans="29:29">
      <c r="AC251" s="20"/>
    </row>
    <row r="252" spans="29:29">
      <c r="AC252" s="20"/>
    </row>
    <row r="253" spans="29:29">
      <c r="AC253" s="20"/>
    </row>
    <row r="254" spans="29:29">
      <c r="AC254" s="20"/>
    </row>
    <row r="255" spans="29:29">
      <c r="AC255" s="20"/>
    </row>
    <row r="256" spans="29:29">
      <c r="AC256" s="20"/>
    </row>
    <row r="257" spans="29:29">
      <c r="AC257" s="20"/>
    </row>
    <row r="258" spans="29:29">
      <c r="AC258" s="20"/>
    </row>
    <row r="259" spans="29:29">
      <c r="AC259" s="20"/>
    </row>
    <row r="260" spans="29:29">
      <c r="AC260" s="20"/>
    </row>
    <row r="261" spans="29:29">
      <c r="AC261" s="20"/>
    </row>
    <row r="262" spans="29:29">
      <c r="AC262" s="20"/>
    </row>
    <row r="263" spans="29:29">
      <c r="AC263" s="20"/>
    </row>
    <row r="264" spans="29:29">
      <c r="AC264" s="20"/>
    </row>
    <row r="265" spans="29:29">
      <c r="AC265" s="20"/>
    </row>
    <row r="266" spans="29:29">
      <c r="AC266" s="20"/>
    </row>
    <row r="267" spans="29:29">
      <c r="AC267" s="20"/>
    </row>
    <row r="268" spans="29:29">
      <c r="AC268" s="20"/>
    </row>
    <row r="269" spans="29:29">
      <c r="AC269" s="20"/>
    </row>
    <row r="270" spans="29:29">
      <c r="AC270" s="20"/>
    </row>
    <row r="271" spans="29:29">
      <c r="AC271" s="20"/>
    </row>
    <row r="272" spans="29:29">
      <c r="AC272" s="20"/>
    </row>
    <row r="273" spans="29:29">
      <c r="AC273" s="20"/>
    </row>
    <row r="274" spans="29:29">
      <c r="AC274" s="20"/>
    </row>
    <row r="275" spans="29:29">
      <c r="AC275" s="20"/>
    </row>
    <row r="276" spans="29:29">
      <c r="AC276" s="20"/>
    </row>
    <row r="277" spans="29:29">
      <c r="AC277" s="20"/>
    </row>
    <row r="278" spans="29:29">
      <c r="AC278" s="20"/>
    </row>
    <row r="279" spans="29:29">
      <c r="AC279" s="20"/>
    </row>
    <row r="280" spans="29:29">
      <c r="AC280" s="20"/>
    </row>
    <row r="281" spans="29:29">
      <c r="AC281" s="20"/>
    </row>
    <row r="282" spans="29:29">
      <c r="AC282" s="20"/>
    </row>
    <row r="283" spans="29:29">
      <c r="AC283" s="20"/>
    </row>
    <row r="284" spans="29:29">
      <c r="AC284" s="20"/>
    </row>
    <row r="285" spans="29:29">
      <c r="AC285" s="20"/>
    </row>
    <row r="286" spans="29:29">
      <c r="AC286" s="20"/>
    </row>
    <row r="287" spans="29:29">
      <c r="AC287" s="20"/>
    </row>
    <row r="288" spans="29:29">
      <c r="AC288" s="20"/>
    </row>
    <row r="289" spans="29:29">
      <c r="AC289" s="20"/>
    </row>
    <row r="290" spans="29:29">
      <c r="AC290" s="20"/>
    </row>
    <row r="291" spans="29:29">
      <c r="AC291" s="20"/>
    </row>
    <row r="292" spans="29:29">
      <c r="AC292" s="20"/>
    </row>
    <row r="293" spans="29:29">
      <c r="AC293" s="20"/>
    </row>
    <row r="294" spans="29:29">
      <c r="AC294" s="20"/>
    </row>
    <row r="295" spans="29:29">
      <c r="AC295" s="20"/>
    </row>
    <row r="296" spans="29:29">
      <c r="AC296" s="20"/>
    </row>
    <row r="297" spans="29:29">
      <c r="AC297" s="20"/>
    </row>
    <row r="298" spans="29:29">
      <c r="AC298" s="20"/>
    </row>
    <row r="299" spans="29:29">
      <c r="AC299" s="20"/>
    </row>
    <row r="300" spans="29:29">
      <c r="AC300" s="20"/>
    </row>
    <row r="301" spans="29:29">
      <c r="AC301" s="20"/>
    </row>
    <row r="302" spans="29:29">
      <c r="AC302" s="20"/>
    </row>
    <row r="303" spans="29:29">
      <c r="AC303" s="20"/>
    </row>
    <row r="304" spans="29:29">
      <c r="AC304" s="20"/>
    </row>
    <row r="305" spans="29:29">
      <c r="AC305" s="20"/>
    </row>
    <row r="306" spans="29:29">
      <c r="AC306" s="20"/>
    </row>
    <row r="307" spans="29:29">
      <c r="AC307" s="20"/>
    </row>
    <row r="308" spans="29:29">
      <c r="AC308" s="20"/>
    </row>
    <row r="309" spans="29:29">
      <c r="AC309" s="20"/>
    </row>
    <row r="310" spans="29:29">
      <c r="AC310" s="20"/>
    </row>
    <row r="311" spans="29:29">
      <c r="AC311" s="20"/>
    </row>
    <row r="312" spans="29:29">
      <c r="AC312" s="20"/>
    </row>
    <row r="313" spans="29:29">
      <c r="AC313" s="20"/>
    </row>
    <row r="314" spans="29:29">
      <c r="AC314" s="20"/>
    </row>
    <row r="315" spans="29:29">
      <c r="AC315" s="20"/>
    </row>
    <row r="316" spans="29:29">
      <c r="AC316" s="20"/>
    </row>
    <row r="317" spans="29:29">
      <c r="AC317" s="20"/>
    </row>
    <row r="318" spans="29:29">
      <c r="AC318" s="20"/>
    </row>
    <row r="319" spans="29:29">
      <c r="AC319" s="20"/>
    </row>
    <row r="320" spans="29:29">
      <c r="AC320" s="20"/>
    </row>
    <row r="321" spans="29:29">
      <c r="AC321" s="20"/>
    </row>
    <row r="322" spans="29:29">
      <c r="AC322" s="20"/>
    </row>
    <row r="323" spans="29:29">
      <c r="AC323" s="20"/>
    </row>
    <row r="324" spans="29:29">
      <c r="AC324" s="20"/>
    </row>
    <row r="325" spans="29:29">
      <c r="AC325" s="20"/>
    </row>
    <row r="326" spans="29:29">
      <c r="AC326" s="20"/>
    </row>
    <row r="327" spans="29:29">
      <c r="AC327" s="20"/>
    </row>
    <row r="328" spans="29:29">
      <c r="AC328" s="20"/>
    </row>
    <row r="329" spans="29:29">
      <c r="AC329" s="20"/>
    </row>
    <row r="330" spans="29:29">
      <c r="AC330" s="20"/>
    </row>
    <row r="331" spans="29:29">
      <c r="AC331" s="20"/>
    </row>
    <row r="332" spans="29:29">
      <c r="AC332" s="20"/>
    </row>
    <row r="333" spans="29:29">
      <c r="AC333" s="20"/>
    </row>
    <row r="334" spans="29:29">
      <c r="AC334" s="20"/>
    </row>
    <row r="335" spans="29:29">
      <c r="AC335" s="20"/>
    </row>
    <row r="336" spans="29:29">
      <c r="AC336" s="20"/>
    </row>
    <row r="337" spans="29:29">
      <c r="AC337" s="20"/>
    </row>
    <row r="338" spans="29:29">
      <c r="AC338" s="20"/>
    </row>
    <row r="339" spans="29:29">
      <c r="AC339" s="20"/>
    </row>
    <row r="340" spans="29:29">
      <c r="AC340" s="20"/>
    </row>
    <row r="341" spans="29:29">
      <c r="AC341" s="20"/>
    </row>
    <row r="342" spans="29:29">
      <c r="AC342" s="20"/>
    </row>
    <row r="343" spans="29:29">
      <c r="AC343" s="20"/>
    </row>
    <row r="344" spans="29:29">
      <c r="AC344" s="20"/>
    </row>
    <row r="345" spans="29:29">
      <c r="AC345" s="20"/>
    </row>
    <row r="346" spans="29:29">
      <c r="AC346" s="20"/>
    </row>
    <row r="347" spans="29:29">
      <c r="AC347" s="20"/>
    </row>
    <row r="348" spans="29:29">
      <c r="AC348" s="20"/>
    </row>
    <row r="349" spans="29:29">
      <c r="AC349" s="20"/>
    </row>
    <row r="350" spans="29:29">
      <c r="AC350" s="20"/>
    </row>
    <row r="351" spans="29:29">
      <c r="AC351" s="20"/>
    </row>
    <row r="352" spans="29:29">
      <c r="AC352" s="20"/>
    </row>
    <row r="353" spans="29:29">
      <c r="AC353" s="20"/>
    </row>
    <row r="354" spans="29:29">
      <c r="AC354" s="20"/>
    </row>
    <row r="355" spans="29:29">
      <c r="AC355" s="20"/>
    </row>
    <row r="356" spans="29:29">
      <c r="AC356" s="20"/>
    </row>
    <row r="357" spans="29:29">
      <c r="AC357" s="20"/>
    </row>
    <row r="358" spans="29:29">
      <c r="AC358" s="20"/>
    </row>
    <row r="359" spans="29:29">
      <c r="AC359" s="20"/>
    </row>
    <row r="360" spans="29:29">
      <c r="AC360" s="20"/>
    </row>
    <row r="361" spans="29:29">
      <c r="AC361" s="20"/>
    </row>
    <row r="362" spans="29:29">
      <c r="AC362" s="20"/>
    </row>
    <row r="363" spans="29:29">
      <c r="AC363" s="20"/>
    </row>
    <row r="364" spans="29:29">
      <c r="AC364" s="20"/>
    </row>
    <row r="365" spans="29:29">
      <c r="AC365" s="20"/>
    </row>
    <row r="366" spans="29:29">
      <c r="AC366" s="20"/>
    </row>
    <row r="367" spans="29:29">
      <c r="AC367" s="20"/>
    </row>
    <row r="368" spans="29:29">
      <c r="AC368" s="20"/>
    </row>
    <row r="369" spans="29:29">
      <c r="AC369" s="20"/>
    </row>
    <row r="370" spans="29:29">
      <c r="AC370" s="20"/>
    </row>
    <row r="371" spans="29:29">
      <c r="AC371" s="20"/>
    </row>
    <row r="372" spans="29:29">
      <c r="AC372" s="20"/>
    </row>
    <row r="373" spans="29:29">
      <c r="AC373" s="20"/>
    </row>
    <row r="374" spans="29:29">
      <c r="AC374" s="20"/>
    </row>
    <row r="375" spans="29:29">
      <c r="AC375" s="20"/>
    </row>
    <row r="376" spans="29:29">
      <c r="AC376" s="20"/>
    </row>
    <row r="377" spans="29:29">
      <c r="AC377" s="20"/>
    </row>
    <row r="378" spans="29:29">
      <c r="AC378" s="20"/>
    </row>
    <row r="379" spans="29:29">
      <c r="AC379" s="20"/>
    </row>
    <row r="380" spans="29:29">
      <c r="AC380" s="20"/>
    </row>
    <row r="381" spans="29:29">
      <c r="AC381" s="20"/>
    </row>
    <row r="382" spans="29:29">
      <c r="AC382" s="20"/>
    </row>
    <row r="383" spans="29:29">
      <c r="AC383" s="20"/>
    </row>
    <row r="384" spans="29:29">
      <c r="AC384" s="20"/>
    </row>
    <row r="385" spans="29:29">
      <c r="AC385" s="20"/>
    </row>
    <row r="386" spans="29:29">
      <c r="AC386" s="20"/>
    </row>
    <row r="387" spans="29:29">
      <c r="AC387" s="20"/>
    </row>
    <row r="388" spans="29:29">
      <c r="AC388" s="20"/>
    </row>
    <row r="389" spans="29:29">
      <c r="AC389" s="20"/>
    </row>
    <row r="390" spans="29:29">
      <c r="AC390" s="20"/>
    </row>
    <row r="391" spans="29:29">
      <c r="AC391" s="20"/>
    </row>
    <row r="392" spans="29:29">
      <c r="AC392" s="20"/>
    </row>
    <row r="393" spans="29:29">
      <c r="AC393" s="20"/>
    </row>
    <row r="394" spans="29:29">
      <c r="AC394" s="20"/>
    </row>
    <row r="395" spans="29:29">
      <c r="AC395" s="20"/>
    </row>
    <row r="396" spans="29:29">
      <c r="AC396" s="20"/>
    </row>
    <row r="397" spans="29:29">
      <c r="AC397" s="20"/>
    </row>
    <row r="398" spans="29:29">
      <c r="AC398" s="20"/>
    </row>
    <row r="399" spans="29:29">
      <c r="AC399" s="20"/>
    </row>
    <row r="400" spans="29:29">
      <c r="AC400" s="20"/>
    </row>
    <row r="401" spans="29:29">
      <c r="AC401" s="20"/>
    </row>
    <row r="402" spans="29:29">
      <c r="AC402" s="20"/>
    </row>
    <row r="403" spans="29:29">
      <c r="AC403" s="20"/>
    </row>
    <row r="404" spans="29:29">
      <c r="AC404" s="20"/>
    </row>
    <row r="405" spans="29:29">
      <c r="AC405" s="20"/>
    </row>
    <row r="406" spans="29:29">
      <c r="AC406" s="20"/>
    </row>
    <row r="407" spans="29:29">
      <c r="AC407" s="20"/>
    </row>
    <row r="408" spans="29:29">
      <c r="AC408" s="20"/>
    </row>
    <row r="409" spans="29:29">
      <c r="AC409" s="20"/>
    </row>
    <row r="410" spans="29:29">
      <c r="AC410" s="20"/>
    </row>
  </sheetData>
  <mergeCells count="4">
    <mergeCell ref="A55:O55"/>
    <mergeCell ref="A112:O112"/>
    <mergeCell ref="B5:P5"/>
    <mergeCell ref="B63:P63"/>
  </mergeCells>
  <phoneticPr fontId="0" type="noConversion"/>
  <pageMargins left="0.86" right="0.25" top="0.52" bottom="0.2" header="0.5" footer="0.22"/>
  <pageSetup scale="88" orientation="portrait" r:id="rId1"/>
  <headerFooter alignWithMargins="0"/>
  <rowBreaks count="1" manualBreakCount="1">
    <brk id="58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Q45"/>
  <sheetViews>
    <sheetView workbookViewId="0">
      <selection activeCell="A24" sqref="A24:A32"/>
    </sheetView>
  </sheetViews>
  <sheetFormatPr defaultRowHeight="9"/>
  <cols>
    <col min="1" max="1" width="21.796875" bestFit="1" customWidth="1"/>
    <col min="2" max="2" width="20.19921875" bestFit="1" customWidth="1"/>
    <col min="3" max="17" width="15.19921875" bestFit="1" customWidth="1"/>
  </cols>
  <sheetData>
    <row r="3" spans="1:17">
      <c r="A3" s="97" t="s">
        <v>141</v>
      </c>
      <c r="B3" s="97" t="s">
        <v>138</v>
      </c>
    </row>
    <row r="4" spans="1:17">
      <c r="A4" s="97" t="s">
        <v>140</v>
      </c>
      <c r="B4">
        <v>1996</v>
      </c>
      <c r="C4">
        <v>1997</v>
      </c>
      <c r="D4">
        <v>1998</v>
      </c>
      <c r="E4">
        <v>1999</v>
      </c>
      <c r="F4">
        <v>2000</v>
      </c>
      <c r="G4">
        <v>2001</v>
      </c>
      <c r="H4">
        <v>2002</v>
      </c>
      <c r="I4">
        <v>2003</v>
      </c>
      <c r="J4">
        <v>2004</v>
      </c>
      <c r="K4">
        <v>2005</v>
      </c>
      <c r="L4">
        <v>2006</v>
      </c>
      <c r="M4">
        <v>2007</v>
      </c>
      <c r="N4">
        <v>2008</v>
      </c>
      <c r="O4">
        <v>2009</v>
      </c>
      <c r="P4">
        <v>2010</v>
      </c>
      <c r="Q4" t="s">
        <v>139</v>
      </c>
    </row>
    <row r="5" spans="1:17">
      <c r="A5" s="98" t="s">
        <v>137</v>
      </c>
      <c r="B5">
        <v>5.8470218599999998E-2</v>
      </c>
      <c r="C5">
        <v>6.0061759499999999E-2</v>
      </c>
      <c r="D5">
        <v>6.20182674E-2</v>
      </c>
      <c r="E5">
        <v>6.2000810599999998E-2</v>
      </c>
      <c r="F5">
        <v>6.2654445899999994E-2</v>
      </c>
      <c r="G5">
        <v>5.8191920699999997E-2</v>
      </c>
      <c r="H5">
        <v>5.6377115899999997E-2</v>
      </c>
      <c r="I5">
        <v>6.1101582500000001E-2</v>
      </c>
      <c r="J5">
        <v>6.2627095499999993E-2</v>
      </c>
      <c r="K5">
        <v>6.4440649399999994E-2</v>
      </c>
      <c r="L5">
        <v>6.54996895E-2</v>
      </c>
      <c r="M5">
        <v>6.4944536999999997E-2</v>
      </c>
      <c r="N5">
        <v>6.4330984199999997E-2</v>
      </c>
      <c r="O5">
        <v>6.4387461600000001E-2</v>
      </c>
      <c r="P5">
        <v>6.6338361200000001E-2</v>
      </c>
      <c r="Q5">
        <v>0.93344489950000009</v>
      </c>
    </row>
    <row r="6" spans="1:17">
      <c r="A6" s="99" t="s">
        <v>136</v>
      </c>
      <c r="B6">
        <v>5.8470218599999998E-2</v>
      </c>
      <c r="C6">
        <v>6.0061759499999999E-2</v>
      </c>
      <c r="D6">
        <v>6.20182674E-2</v>
      </c>
      <c r="E6">
        <v>6.2000810599999998E-2</v>
      </c>
      <c r="F6">
        <v>6.2654445899999994E-2</v>
      </c>
      <c r="G6">
        <v>5.8191920699999997E-2</v>
      </c>
      <c r="H6">
        <v>5.6377115899999997E-2</v>
      </c>
      <c r="I6">
        <v>6.1101582500000001E-2</v>
      </c>
      <c r="J6">
        <v>6.2627095499999993E-2</v>
      </c>
      <c r="K6">
        <v>6.4440649399999994E-2</v>
      </c>
      <c r="L6">
        <v>6.54996895E-2</v>
      </c>
      <c r="M6">
        <v>6.4944536999999997E-2</v>
      </c>
      <c r="N6">
        <v>6.4330984199999997E-2</v>
      </c>
      <c r="O6">
        <v>6.4387461600000001E-2</v>
      </c>
      <c r="P6">
        <v>6.6338361200000001E-2</v>
      </c>
      <c r="Q6">
        <v>0.93344489950000009</v>
      </c>
    </row>
    <row r="7" spans="1:17">
      <c r="A7" s="98" t="s">
        <v>124</v>
      </c>
      <c r="B7">
        <v>1.2697103538000001</v>
      </c>
      <c r="C7">
        <v>1.3144926067</v>
      </c>
      <c r="D7">
        <v>1.3657268444000001</v>
      </c>
      <c r="E7">
        <v>1.4184629897000001</v>
      </c>
      <c r="F7">
        <v>1.3874672168</v>
      </c>
      <c r="G7">
        <v>1.3654401035999999</v>
      </c>
      <c r="H7">
        <v>1.3953431462999999</v>
      </c>
      <c r="I7">
        <v>1.4846740351999999</v>
      </c>
      <c r="J7">
        <v>1.4910937753</v>
      </c>
      <c r="K7">
        <v>1.5466261742</v>
      </c>
      <c r="L7">
        <v>1.4811240023999999</v>
      </c>
      <c r="M7">
        <v>1.4780922217999999</v>
      </c>
      <c r="N7">
        <v>1.3470184464999999</v>
      </c>
      <c r="O7">
        <v>1.5067545105</v>
      </c>
      <c r="P7">
        <v>1.7765086845</v>
      </c>
      <c r="Q7">
        <v>21.628535111699996</v>
      </c>
    </row>
    <row r="8" spans="1:17">
      <c r="A8" s="99" t="s">
        <v>135</v>
      </c>
      <c r="B8">
        <v>8.8181533000000006E-2</v>
      </c>
      <c r="C8">
        <v>9.1710242799999994E-2</v>
      </c>
      <c r="D8">
        <v>9.5197606300000001E-2</v>
      </c>
      <c r="E8">
        <v>9.6798698899999994E-2</v>
      </c>
      <c r="F8">
        <v>9.7025488199999996E-2</v>
      </c>
      <c r="G8">
        <v>9.5406174799999993E-2</v>
      </c>
      <c r="H8">
        <v>9.8200620500000002E-2</v>
      </c>
      <c r="I8">
        <v>0.10160621390000001</v>
      </c>
      <c r="J8">
        <v>0.102245183</v>
      </c>
      <c r="K8">
        <v>0.104785537</v>
      </c>
      <c r="L8">
        <v>0.1055637398</v>
      </c>
      <c r="M8">
        <v>0.1063942611</v>
      </c>
      <c r="N8">
        <v>0.1054308714</v>
      </c>
      <c r="O8">
        <v>0.1127801011</v>
      </c>
      <c r="P8">
        <v>0.125652402</v>
      </c>
      <c r="Q8">
        <v>1.5269786738000002</v>
      </c>
    </row>
    <row r="9" spans="1:17">
      <c r="A9" s="99" t="s">
        <v>123</v>
      </c>
      <c r="B9">
        <v>3.1958163900000003E-2</v>
      </c>
      <c r="C9">
        <v>2.5102159999999998E-2</v>
      </c>
      <c r="D9">
        <v>2.7761712000000001E-2</v>
      </c>
      <c r="E9">
        <v>4.08408408E-2</v>
      </c>
      <c r="F9">
        <v>0</v>
      </c>
      <c r="G9">
        <v>0</v>
      </c>
      <c r="H9">
        <v>0</v>
      </c>
      <c r="I9">
        <v>6.0860440699999997E-2</v>
      </c>
      <c r="J9">
        <v>6.7669172900000005E-2</v>
      </c>
      <c r="K9">
        <v>8.0869040399999995E-2</v>
      </c>
      <c r="L9">
        <v>0</v>
      </c>
      <c r="M9">
        <v>0</v>
      </c>
      <c r="N9">
        <v>0</v>
      </c>
      <c r="O9">
        <v>0</v>
      </c>
      <c r="P9">
        <v>9.0193704599999994E-2</v>
      </c>
      <c r="Q9">
        <v>0.42525523529999998</v>
      </c>
    </row>
    <row r="10" spans="1:17">
      <c r="A10" s="99" t="s">
        <v>14</v>
      </c>
      <c r="B10">
        <v>7.0007955400000002E-2</v>
      </c>
      <c r="C10">
        <v>6.4843750000000006E-2</v>
      </c>
      <c r="D10">
        <v>5.8674393300000002E-2</v>
      </c>
      <c r="E10">
        <v>7.0510593999999996E-2</v>
      </c>
      <c r="F10">
        <v>6.2260869599999998E-2</v>
      </c>
      <c r="G10">
        <v>8.2452431300000004E-2</v>
      </c>
      <c r="H10">
        <v>7.9089506200000007E-2</v>
      </c>
      <c r="I10">
        <v>9.1051805299999997E-2</v>
      </c>
      <c r="J10">
        <v>9.6115865699999997E-2</v>
      </c>
      <c r="K10">
        <v>0.1190198366</v>
      </c>
      <c r="L10">
        <v>0.1096438575</v>
      </c>
      <c r="M10">
        <v>0.1207652451</v>
      </c>
      <c r="N10">
        <v>0</v>
      </c>
      <c r="O10">
        <v>0.1374673142</v>
      </c>
      <c r="P10">
        <v>0.1378053226</v>
      </c>
      <c r="Q10">
        <v>1.2997087468000001</v>
      </c>
    </row>
    <row r="11" spans="1:17">
      <c r="A11" s="99" t="s">
        <v>127</v>
      </c>
      <c r="B11">
        <v>0.1704335793</v>
      </c>
      <c r="C11">
        <v>0.17503656749999999</v>
      </c>
      <c r="D11">
        <v>0.1749011858</v>
      </c>
      <c r="E11">
        <v>0.17221791889999999</v>
      </c>
      <c r="F11">
        <v>0.15889370929999999</v>
      </c>
      <c r="G11">
        <v>0.153393907</v>
      </c>
      <c r="H11">
        <v>0.15790849670000001</v>
      </c>
      <c r="I11">
        <v>0.14611984280000001</v>
      </c>
      <c r="J11">
        <v>0.14501584209999999</v>
      </c>
      <c r="K11">
        <v>0.1463869464</v>
      </c>
      <c r="L11">
        <v>0.14200133130000001</v>
      </c>
      <c r="M11">
        <v>0.1390882229</v>
      </c>
      <c r="N11">
        <v>0.13860578879999999</v>
      </c>
      <c r="O11">
        <v>0.13637237930000001</v>
      </c>
      <c r="P11">
        <v>0.15446120299999999</v>
      </c>
      <c r="Q11">
        <v>2.3108369210999999</v>
      </c>
    </row>
    <row r="12" spans="1:17">
      <c r="A12" s="99" t="s">
        <v>126</v>
      </c>
      <c r="B12">
        <v>5.0501532500000001E-2</v>
      </c>
      <c r="C12">
        <v>5.55044248E-2</v>
      </c>
      <c r="D12">
        <v>5.6831395299999997E-2</v>
      </c>
      <c r="E12">
        <v>5.73717719E-2</v>
      </c>
      <c r="F12">
        <v>5.9796889399999997E-2</v>
      </c>
      <c r="G12">
        <v>6.1530871199999997E-2</v>
      </c>
      <c r="H12">
        <v>6.3036649200000003E-2</v>
      </c>
      <c r="I12">
        <v>5.6466680499999998E-2</v>
      </c>
      <c r="J12">
        <v>5.2581586299999997E-2</v>
      </c>
      <c r="K12">
        <v>5.0585255699999998E-2</v>
      </c>
      <c r="L12">
        <v>4.8672566399999999E-2</v>
      </c>
      <c r="M12">
        <v>5.3300532999999997E-2</v>
      </c>
      <c r="N12">
        <v>5.74303512E-2</v>
      </c>
      <c r="O12">
        <v>6.0610070799999999E-2</v>
      </c>
      <c r="P12">
        <v>7.1658668100000003E-2</v>
      </c>
      <c r="Q12">
        <v>0.8558792462999999</v>
      </c>
    </row>
    <row r="13" spans="1:17">
      <c r="A13" s="99" t="s">
        <v>125</v>
      </c>
      <c r="B13">
        <v>4.8282442699999997E-2</v>
      </c>
      <c r="C13">
        <v>4.8934198300000002E-2</v>
      </c>
      <c r="D13">
        <v>5.3087757300000003E-2</v>
      </c>
      <c r="E13">
        <v>5.7854200299999999E-2</v>
      </c>
      <c r="F13">
        <v>5.6935083400000003E-2</v>
      </c>
      <c r="G13">
        <v>5.2987012999999999E-2</v>
      </c>
      <c r="H13">
        <v>5.28727529E-2</v>
      </c>
      <c r="I13">
        <v>5.8489494599999997E-2</v>
      </c>
      <c r="J13">
        <v>6.3084112100000006E-2</v>
      </c>
      <c r="K13">
        <v>7.5978076000000005E-2</v>
      </c>
      <c r="L13">
        <v>8.2837033000000004E-2</v>
      </c>
      <c r="M13">
        <v>8.6956521699999997E-2</v>
      </c>
      <c r="N13">
        <v>8.3867210299999995E-2</v>
      </c>
      <c r="O13">
        <v>8.7515854300000001E-2</v>
      </c>
      <c r="P13">
        <v>0.12004595060000001</v>
      </c>
      <c r="Q13">
        <v>1.0297277005000001</v>
      </c>
    </row>
    <row r="14" spans="1:17">
      <c r="A14" s="99" t="s">
        <v>128</v>
      </c>
      <c r="B14">
        <v>6.4278607000000001E-2</v>
      </c>
      <c r="C14">
        <v>6.8891907599999996E-2</v>
      </c>
      <c r="D14">
        <v>6.9005847999999995E-2</v>
      </c>
      <c r="E14">
        <v>6.9221744200000004E-2</v>
      </c>
      <c r="F14">
        <v>6.9767441900000005E-2</v>
      </c>
      <c r="G14">
        <v>6.9845006900000006E-2</v>
      </c>
      <c r="H14">
        <v>6.4497271999999994E-2</v>
      </c>
      <c r="I14">
        <v>6.24609619E-2</v>
      </c>
      <c r="J14">
        <v>6.6069195499999997E-2</v>
      </c>
      <c r="K14">
        <v>6.6053169699999997E-2</v>
      </c>
      <c r="L14">
        <v>6.5040650399999997E-2</v>
      </c>
      <c r="M14">
        <v>6.2759767199999997E-2</v>
      </c>
      <c r="N14">
        <v>6.2095469299999997E-2</v>
      </c>
      <c r="O14">
        <v>6.1873554400000003E-2</v>
      </c>
      <c r="P14">
        <v>5.3410981699999999E-2</v>
      </c>
      <c r="Q14">
        <v>0.97527157769999995</v>
      </c>
    </row>
    <row r="15" spans="1:17">
      <c r="A15" s="99" t="s">
        <v>129</v>
      </c>
      <c r="B15">
        <v>7.3028237600000004E-2</v>
      </c>
      <c r="C15">
        <v>0.116970278</v>
      </c>
      <c r="D15">
        <v>0.1524105754</v>
      </c>
      <c r="E15">
        <v>0.1855160616</v>
      </c>
      <c r="F15">
        <v>0.2022409993</v>
      </c>
      <c r="G15">
        <v>0.18836615609999999</v>
      </c>
      <c r="H15">
        <v>0.1911306579</v>
      </c>
      <c r="I15">
        <v>0.18312796210000001</v>
      </c>
      <c r="J15">
        <v>0.16997223319999999</v>
      </c>
      <c r="K15">
        <v>0.16456444619999999</v>
      </c>
      <c r="L15">
        <v>0.171887391</v>
      </c>
      <c r="M15">
        <v>0.16474739969999999</v>
      </c>
      <c r="N15">
        <v>0.1648292066</v>
      </c>
      <c r="O15">
        <v>0.1567642474</v>
      </c>
      <c r="P15">
        <v>0.23849643549999999</v>
      </c>
      <c r="Q15">
        <v>2.5240522876</v>
      </c>
    </row>
    <row r="16" spans="1:17">
      <c r="A16" s="99" t="s">
        <v>130</v>
      </c>
      <c r="B16">
        <v>0.1028063743</v>
      </c>
      <c r="C16">
        <v>0.107387336</v>
      </c>
      <c r="D16">
        <v>0.1051812005</v>
      </c>
      <c r="E16">
        <v>0.10223463689999999</v>
      </c>
      <c r="F16">
        <v>0.10485410420000001</v>
      </c>
      <c r="G16">
        <v>9.9671700599999996E-2</v>
      </c>
      <c r="H16">
        <v>0.1007900102</v>
      </c>
      <c r="I16">
        <v>0.1035480624</v>
      </c>
      <c r="J16">
        <v>9.9341938699999993E-2</v>
      </c>
      <c r="K16">
        <v>9.5896946600000005E-2</v>
      </c>
      <c r="L16">
        <v>9.9757281599999997E-2</v>
      </c>
      <c r="M16">
        <v>0.1025700663</v>
      </c>
      <c r="N16">
        <v>0.1044094128</v>
      </c>
      <c r="O16">
        <v>0.10806595369999999</v>
      </c>
      <c r="P16">
        <v>0.1132404181</v>
      </c>
      <c r="Q16">
        <v>1.5497554428999998</v>
      </c>
    </row>
    <row r="17" spans="1:17">
      <c r="A17" s="99" t="s">
        <v>19</v>
      </c>
      <c r="B17">
        <v>0.22919780770000001</v>
      </c>
      <c r="C17">
        <v>0.22058823529999999</v>
      </c>
      <c r="D17">
        <v>0.21511914539999999</v>
      </c>
      <c r="E17">
        <v>0.2086475616</v>
      </c>
      <c r="F17">
        <v>0.20905505059999999</v>
      </c>
      <c r="G17">
        <v>0.19982409849999999</v>
      </c>
      <c r="H17">
        <v>0.20393686820000001</v>
      </c>
      <c r="I17">
        <v>0.20423434930000001</v>
      </c>
      <c r="J17">
        <v>0.20014245010000001</v>
      </c>
      <c r="K17">
        <v>0.19888609409999999</v>
      </c>
      <c r="L17">
        <v>0.18606334839999999</v>
      </c>
      <c r="M17">
        <v>0.1685092725</v>
      </c>
      <c r="N17">
        <v>0.1598639456</v>
      </c>
      <c r="O17">
        <v>0.15139879319999999</v>
      </c>
      <c r="P17">
        <v>0.16</v>
      </c>
      <c r="Q17">
        <v>2.9154670205</v>
      </c>
    </row>
    <row r="18" spans="1:17">
      <c r="A18" s="99" t="s">
        <v>131</v>
      </c>
      <c r="B18">
        <v>4.0747411099999999E-2</v>
      </c>
      <c r="C18">
        <v>4.0495583299999999E-2</v>
      </c>
      <c r="D18">
        <v>4.5280833800000003E-2</v>
      </c>
      <c r="E18">
        <v>4.6146799500000002E-2</v>
      </c>
      <c r="F18">
        <v>4.7312815799999998E-2</v>
      </c>
      <c r="G18">
        <v>4.6581344400000002E-2</v>
      </c>
      <c r="H18">
        <v>4.5132325100000002E-2</v>
      </c>
      <c r="I18">
        <v>4.7482358600000003E-2</v>
      </c>
      <c r="J18">
        <v>4.4096385500000002E-2</v>
      </c>
      <c r="K18">
        <v>5.0519527100000003E-2</v>
      </c>
      <c r="L18">
        <v>5.3053525099999999E-2</v>
      </c>
      <c r="M18">
        <v>5.3075279000000003E-2</v>
      </c>
      <c r="N18">
        <v>4.9499116099999997E-2</v>
      </c>
      <c r="O18">
        <v>5.4294406699999999E-2</v>
      </c>
      <c r="P18">
        <v>6.0640089799999998E-2</v>
      </c>
      <c r="Q18">
        <v>0.7243578008999999</v>
      </c>
    </row>
    <row r="19" spans="1:17">
      <c r="A19" s="99" t="s">
        <v>20</v>
      </c>
      <c r="B19">
        <v>0.10621172349999999</v>
      </c>
      <c r="C19">
        <v>0.1080535364</v>
      </c>
      <c r="D19">
        <v>0.11228645769999999</v>
      </c>
      <c r="E19">
        <v>0.1123728147</v>
      </c>
      <c r="F19">
        <v>0.1110248447</v>
      </c>
      <c r="G19">
        <v>0.11000054319999999</v>
      </c>
      <c r="H19">
        <v>0.1096426574</v>
      </c>
      <c r="I19">
        <v>0.1098152595</v>
      </c>
      <c r="J19">
        <v>0.11335314420000001</v>
      </c>
      <c r="K19">
        <v>0.11694040360000001</v>
      </c>
      <c r="L19">
        <v>0.1214142451</v>
      </c>
      <c r="M19">
        <v>0.1245944192</v>
      </c>
      <c r="N19">
        <v>0.13359494220000001</v>
      </c>
      <c r="O19">
        <v>0.147177589</v>
      </c>
      <c r="P19">
        <v>0.17186115809999999</v>
      </c>
      <c r="Q19">
        <v>1.8083437384999999</v>
      </c>
    </row>
    <row r="20" spans="1:17">
      <c r="A20" s="99" t="s">
        <v>21</v>
      </c>
      <c r="B20">
        <v>0.15569411329999999</v>
      </c>
      <c r="C20">
        <v>0.15417181160000001</v>
      </c>
      <c r="D20">
        <v>0.16297857390000001</v>
      </c>
      <c r="E20">
        <v>0.16591539529999999</v>
      </c>
      <c r="F20">
        <v>0.1737391304</v>
      </c>
      <c r="G20">
        <v>0.1710055321</v>
      </c>
      <c r="H20">
        <v>0.1888905706</v>
      </c>
      <c r="I20">
        <v>0.2046484432</v>
      </c>
      <c r="J20">
        <v>0.2120614344</v>
      </c>
      <c r="K20">
        <v>0.2134279476</v>
      </c>
      <c r="L20">
        <v>0.22603485840000001</v>
      </c>
      <c r="M20">
        <v>0.2242047026</v>
      </c>
      <c r="N20">
        <v>0.22342648209999999</v>
      </c>
      <c r="O20">
        <v>0.2263256394</v>
      </c>
      <c r="P20">
        <v>0.2379672612</v>
      </c>
      <c r="Q20">
        <v>2.9404918960999997</v>
      </c>
    </row>
    <row r="21" spans="1:17">
      <c r="A21" s="99" t="s">
        <v>22</v>
      </c>
      <c r="B21">
        <v>3.8380872500000003E-2</v>
      </c>
      <c r="C21">
        <v>3.6802575099999998E-2</v>
      </c>
      <c r="D21">
        <v>3.7010159700000003E-2</v>
      </c>
      <c r="E21">
        <v>3.2813951100000002E-2</v>
      </c>
      <c r="F21">
        <v>3.4560790000000001E-2</v>
      </c>
      <c r="G21">
        <v>3.4375324499999999E-2</v>
      </c>
      <c r="H21">
        <v>4.0214759400000001E-2</v>
      </c>
      <c r="I21">
        <v>5.4762160400000003E-2</v>
      </c>
      <c r="J21">
        <v>5.9345231599999999E-2</v>
      </c>
      <c r="K21">
        <v>6.2712947199999994E-2</v>
      </c>
      <c r="L21">
        <v>6.9154174400000004E-2</v>
      </c>
      <c r="M21">
        <v>7.1126531500000006E-2</v>
      </c>
      <c r="N21">
        <v>6.3965650099999993E-2</v>
      </c>
      <c r="O21">
        <v>6.6108607E-2</v>
      </c>
      <c r="P21">
        <v>4.1075089199999998E-2</v>
      </c>
      <c r="Q21">
        <v>0.74240882370000005</v>
      </c>
    </row>
    <row r="22" spans="1:17">
      <c r="A22" s="98" t="s">
        <v>111</v>
      </c>
      <c r="B22">
        <v>0.29019396009999998</v>
      </c>
      <c r="C22">
        <v>0.2970468657</v>
      </c>
      <c r="D22">
        <v>0.26007522960000001</v>
      </c>
      <c r="E22">
        <v>0.33935058819999997</v>
      </c>
      <c r="F22">
        <v>0.26818168070000004</v>
      </c>
      <c r="G22">
        <v>0.21464586180000003</v>
      </c>
      <c r="H22">
        <v>0.169869408</v>
      </c>
      <c r="I22">
        <v>0.28633703579999997</v>
      </c>
      <c r="J22">
        <v>0.32900586880000005</v>
      </c>
      <c r="K22">
        <v>0.35380829040000006</v>
      </c>
      <c r="L22">
        <v>0.3566837724000001</v>
      </c>
      <c r="M22">
        <v>0.34565415820000001</v>
      </c>
      <c r="N22">
        <v>0.38791200140000004</v>
      </c>
      <c r="O22">
        <v>0.3103711381</v>
      </c>
      <c r="P22">
        <v>0.1305657764</v>
      </c>
      <c r="Q22">
        <v>4.3397016356</v>
      </c>
    </row>
    <row r="23" spans="1:17">
      <c r="A23" s="99" t="s">
        <v>135</v>
      </c>
      <c r="B23">
        <v>1.8967500700000001E-2</v>
      </c>
      <c r="C23">
        <v>1.8419065799999999E-2</v>
      </c>
      <c r="D23">
        <v>1.78412771E-2</v>
      </c>
      <c r="E23">
        <v>1.8234423400000001E-2</v>
      </c>
      <c r="F23">
        <v>1.7513208299999999E-2</v>
      </c>
      <c r="G23">
        <v>1.27404062E-2</v>
      </c>
      <c r="H23">
        <v>6.4119195E-3</v>
      </c>
      <c r="I23">
        <v>1.4184397200000001E-2</v>
      </c>
      <c r="J23">
        <v>1.5658675E-2</v>
      </c>
      <c r="K23">
        <v>1.56339978E-2</v>
      </c>
      <c r="L23">
        <v>1.6628510900000001E-2</v>
      </c>
      <c r="M23">
        <v>1.5493512500000001E-2</v>
      </c>
      <c r="N23">
        <v>1.6080390399999998E-2</v>
      </c>
      <c r="O23">
        <v>1.26439812E-2</v>
      </c>
      <c r="P23">
        <v>4.0171147999999999E-3</v>
      </c>
      <c r="Q23">
        <v>0.2204683808</v>
      </c>
    </row>
    <row r="24" spans="1:17">
      <c r="A24" s="99" t="s">
        <v>25</v>
      </c>
      <c r="B24">
        <v>1.9244476100000001E-2</v>
      </c>
      <c r="C24">
        <v>2.4122807E-2</v>
      </c>
      <c r="D24">
        <v>1.6404199500000001E-2</v>
      </c>
      <c r="E24">
        <v>1.4411027599999999E-2</v>
      </c>
      <c r="F24">
        <v>1.13207547E-2</v>
      </c>
      <c r="G24">
        <v>9.4290203999999999E-3</v>
      </c>
      <c r="H24">
        <v>1.4606155500000001E-2</v>
      </c>
      <c r="I24">
        <v>2.3054755E-2</v>
      </c>
      <c r="J24">
        <v>2.45730945E-2</v>
      </c>
      <c r="K24">
        <v>2.7789473700000001E-2</v>
      </c>
      <c r="L24">
        <v>3.07017544E-2</v>
      </c>
      <c r="M24">
        <v>2.9254370299999999E-2</v>
      </c>
      <c r="N24">
        <v>2.8233749200000002E-2</v>
      </c>
      <c r="O24">
        <v>2.4032042699999999E-2</v>
      </c>
      <c r="P24">
        <v>2.8149873799999999E-2</v>
      </c>
      <c r="Q24">
        <v>0.3253275544</v>
      </c>
    </row>
    <row r="25" spans="1:17">
      <c r="A25" s="99" t="s">
        <v>26</v>
      </c>
      <c r="B25">
        <v>3.1424580999999999E-3</v>
      </c>
      <c r="C25">
        <v>6.8634179999999998E-4</v>
      </c>
      <c r="D25">
        <v>2.045687E-3</v>
      </c>
      <c r="E25">
        <v>6.2695920000000003E-4</v>
      </c>
      <c r="F25">
        <v>3.6656889999999999E-4</v>
      </c>
      <c r="G25">
        <v>6.1519530000000002E-4</v>
      </c>
      <c r="H25">
        <v>7.0126230000000002E-4</v>
      </c>
      <c r="I25">
        <v>0</v>
      </c>
      <c r="J25">
        <v>9.3312600000000005E-4</v>
      </c>
      <c r="K25">
        <v>0</v>
      </c>
      <c r="L25">
        <v>3.577818E-4</v>
      </c>
      <c r="M25">
        <v>1.7780939E-3</v>
      </c>
      <c r="N25">
        <v>1.0452962000000001E-3</v>
      </c>
      <c r="O25">
        <v>2.0086082999999999E-3</v>
      </c>
      <c r="P25">
        <v>9.4966759999999995E-4</v>
      </c>
      <c r="Q25">
        <v>1.52570464E-2</v>
      </c>
    </row>
    <row r="26" spans="1:17">
      <c r="A26" s="99" t="s">
        <v>27</v>
      </c>
      <c r="B26">
        <v>1.4832394E-3</v>
      </c>
      <c r="C26">
        <v>1.4710209000000001E-3</v>
      </c>
      <c r="D26">
        <v>4.0149125000000004E-3</v>
      </c>
      <c r="E26">
        <v>6.3583815000000004E-3</v>
      </c>
      <c r="F26">
        <v>4.6852122999999999E-3</v>
      </c>
      <c r="G26">
        <v>4.0567950999999998E-3</v>
      </c>
      <c r="H26">
        <v>4.0183696999999997E-3</v>
      </c>
      <c r="I26">
        <v>3.6302709E-3</v>
      </c>
      <c r="J26">
        <v>3.5287730999999998E-3</v>
      </c>
      <c r="K26">
        <v>6.4716542000000004E-3</v>
      </c>
      <c r="L26">
        <v>5.8974359000000002E-3</v>
      </c>
      <c r="M26">
        <v>7.8941258000000004E-3</v>
      </c>
      <c r="N26">
        <v>9.1106290999999999E-3</v>
      </c>
      <c r="O26">
        <v>7.2965388000000003E-3</v>
      </c>
      <c r="P26">
        <v>7.5571177999999998E-3</v>
      </c>
      <c r="Q26">
        <v>7.7474477E-2</v>
      </c>
    </row>
    <row r="27" spans="1:17">
      <c r="A27" s="99" t="s">
        <v>28</v>
      </c>
      <c r="E27">
        <v>9.2838195999999998E-3</v>
      </c>
      <c r="F27">
        <v>5.3120850000000002E-3</v>
      </c>
      <c r="G27">
        <v>8.6100861000000008E-3</v>
      </c>
      <c r="H27">
        <v>6.8571429E-3</v>
      </c>
      <c r="I27">
        <v>4.5871560000000002E-3</v>
      </c>
      <c r="J27">
        <v>1.03686636E-2</v>
      </c>
      <c r="K27">
        <v>1.25284738E-2</v>
      </c>
      <c r="L27">
        <v>7.9817559999999996E-3</v>
      </c>
      <c r="M27">
        <v>1.7182130600000001E-2</v>
      </c>
      <c r="N27">
        <v>3.7894736800000002E-2</v>
      </c>
      <c r="O27">
        <v>3.2846715300000003E-2</v>
      </c>
      <c r="Q27">
        <v>0.15345276569999999</v>
      </c>
    </row>
    <row r="28" spans="1:17">
      <c r="A28" s="99" t="s">
        <v>133</v>
      </c>
      <c r="H28">
        <v>2.0671834600000001E-2</v>
      </c>
      <c r="I28">
        <v>3.7974683500000002E-2</v>
      </c>
      <c r="J28">
        <v>3.9325842700000002E-2</v>
      </c>
      <c r="K28">
        <v>5.7724957600000001E-2</v>
      </c>
      <c r="L28">
        <v>5.8043117700000001E-2</v>
      </c>
      <c r="M28">
        <v>3.8880248800000003E-2</v>
      </c>
      <c r="N28">
        <v>4.0435458799999997E-2</v>
      </c>
      <c r="O28">
        <v>2.83687943E-2</v>
      </c>
      <c r="P28">
        <v>0</v>
      </c>
      <c r="Q28">
        <v>0.32142493799999999</v>
      </c>
    </row>
    <row r="29" spans="1:17">
      <c r="A29" s="99" t="s">
        <v>132</v>
      </c>
      <c r="H29">
        <v>1.9550342000000001E-3</v>
      </c>
      <c r="I29">
        <v>2.6178009999999999E-3</v>
      </c>
      <c r="J29">
        <v>2.214349E-3</v>
      </c>
      <c r="K29">
        <v>3.0647985999999999E-3</v>
      </c>
      <c r="L29">
        <v>1.6286645000000001E-3</v>
      </c>
      <c r="M29">
        <v>1.9825534999999999E-3</v>
      </c>
      <c r="N29">
        <v>4.1260315000000002E-3</v>
      </c>
      <c r="O29">
        <v>3.0364372E-3</v>
      </c>
      <c r="P29">
        <v>0</v>
      </c>
      <c r="Q29">
        <v>2.0625669499999999E-2</v>
      </c>
    </row>
    <row r="30" spans="1:17">
      <c r="A30" s="99" t="s">
        <v>112</v>
      </c>
      <c r="B30">
        <v>7.3151950999999996E-3</v>
      </c>
      <c r="C30">
        <v>6.3209494000000003E-3</v>
      </c>
      <c r="D30">
        <v>8.0675659000000004E-3</v>
      </c>
      <c r="E30">
        <v>8.0010001000000008E-3</v>
      </c>
      <c r="F30">
        <v>8.6108648999999992E-3</v>
      </c>
      <c r="G30">
        <v>7.2916667000000003E-3</v>
      </c>
      <c r="H30">
        <v>9.8539504000000003E-3</v>
      </c>
      <c r="I30">
        <v>7.6881817000000003E-3</v>
      </c>
      <c r="J30">
        <v>6.6127846999999998E-3</v>
      </c>
      <c r="K30">
        <v>6.4995356999999997E-3</v>
      </c>
      <c r="L30">
        <v>8.0800308000000005E-3</v>
      </c>
      <c r="M30">
        <v>7.9131394999999993E-3</v>
      </c>
      <c r="N30">
        <v>7.6548364999999997E-3</v>
      </c>
      <c r="O30">
        <v>7.1810286999999997E-3</v>
      </c>
      <c r="P30">
        <v>0</v>
      </c>
      <c r="Q30">
        <v>0.10709073009999999</v>
      </c>
    </row>
    <row r="31" spans="1:17">
      <c r="A31" s="99" t="s">
        <v>113</v>
      </c>
      <c r="B31">
        <v>1.1255627799999999E-2</v>
      </c>
      <c r="C31">
        <v>1.40290426E-2</v>
      </c>
      <c r="D31">
        <v>1.4688738600000001E-2</v>
      </c>
      <c r="E31">
        <v>1.0810810800000001E-2</v>
      </c>
      <c r="F31">
        <v>1.4156160100000001E-2</v>
      </c>
      <c r="G31">
        <v>1.32269099E-2</v>
      </c>
      <c r="H31">
        <v>6.5060240999999996E-3</v>
      </c>
      <c r="I31">
        <v>7.1569594999999998E-3</v>
      </c>
      <c r="J31">
        <v>7.7250931999999998E-3</v>
      </c>
      <c r="K31">
        <v>8.0493695000000004E-3</v>
      </c>
      <c r="L31">
        <v>7.0005385000000003E-3</v>
      </c>
      <c r="M31">
        <v>7.1373948999999999E-3</v>
      </c>
      <c r="N31">
        <v>8.8764900000000008E-3</v>
      </c>
      <c r="O31">
        <v>8.7436722999999997E-3</v>
      </c>
      <c r="P31">
        <v>0</v>
      </c>
      <c r="Q31">
        <v>0.1393628318</v>
      </c>
    </row>
    <row r="32" spans="1:17">
      <c r="A32" s="99" t="s">
        <v>114</v>
      </c>
      <c r="B32">
        <v>3.1667491300000003E-2</v>
      </c>
      <c r="C32">
        <v>3.3833630099999998E-2</v>
      </c>
      <c r="D32">
        <v>2.9214986599999999E-2</v>
      </c>
      <c r="E32">
        <v>2.68292683E-2</v>
      </c>
      <c r="F32">
        <v>2.4691358E-2</v>
      </c>
      <c r="G32">
        <v>4.2207792199999997E-2</v>
      </c>
      <c r="H32">
        <v>3.50011218E-2</v>
      </c>
      <c r="I32">
        <v>2.7430865299999999E-2</v>
      </c>
      <c r="J32">
        <v>3.1078224099999999E-2</v>
      </c>
      <c r="K32">
        <v>2.8954191899999999E-2</v>
      </c>
      <c r="L32">
        <v>2.8423772600000001E-2</v>
      </c>
      <c r="M32">
        <v>2.7418635800000001E-2</v>
      </c>
      <c r="N32">
        <v>3.2100488500000003E-2</v>
      </c>
      <c r="O32">
        <v>3.45501956E-2</v>
      </c>
      <c r="P32">
        <v>0</v>
      </c>
      <c r="Q32">
        <v>0.43340202210000001</v>
      </c>
    </row>
    <row r="33" spans="1:17">
      <c r="A33" s="99" t="s">
        <v>115</v>
      </c>
      <c r="B33">
        <v>4.6104194999999999E-3</v>
      </c>
      <c r="C33">
        <v>8.6318514999999991E-3</v>
      </c>
      <c r="D33">
        <v>6.5559440999999998E-3</v>
      </c>
      <c r="E33">
        <v>4.3975374000000001E-3</v>
      </c>
      <c r="F33">
        <v>3.1897927000000001E-3</v>
      </c>
      <c r="G33">
        <v>3.5033086999999999E-3</v>
      </c>
      <c r="H33">
        <v>5.3533191000000001E-3</v>
      </c>
      <c r="I33">
        <v>3.8431975000000002E-3</v>
      </c>
      <c r="J33">
        <v>3.8986354999999999E-3</v>
      </c>
      <c r="K33">
        <v>6.5662417999999998E-3</v>
      </c>
      <c r="L33">
        <v>6.2135921999999996E-3</v>
      </c>
      <c r="M33">
        <v>7.0370370000000003E-3</v>
      </c>
      <c r="N33">
        <v>1.0454217700000001E-2</v>
      </c>
      <c r="O33">
        <v>7.6767676999999999E-3</v>
      </c>
      <c r="P33">
        <v>7.7586206999999997E-3</v>
      </c>
      <c r="Q33">
        <v>8.9690483099999996E-2</v>
      </c>
    </row>
    <row r="34" spans="1:17">
      <c r="A34" s="99" t="s">
        <v>116</v>
      </c>
      <c r="B34">
        <v>5.8823529399999998E-2</v>
      </c>
      <c r="C34">
        <v>3.02734375E-2</v>
      </c>
      <c r="E34">
        <v>8.5877862599999993E-2</v>
      </c>
      <c r="F34">
        <v>3.0859049199999999E-2</v>
      </c>
      <c r="G34">
        <v>0</v>
      </c>
      <c r="H34">
        <v>0</v>
      </c>
      <c r="I34">
        <v>2.5192442299999999E-2</v>
      </c>
      <c r="J34">
        <v>3.04568528E-2</v>
      </c>
      <c r="K34">
        <v>3.3069734000000003E-2</v>
      </c>
      <c r="L34">
        <v>4.4015444000000001E-2</v>
      </c>
      <c r="M34">
        <v>2.88529205E-2</v>
      </c>
      <c r="N34">
        <v>4.60358056E-2</v>
      </c>
      <c r="O34">
        <v>4.6386192E-2</v>
      </c>
      <c r="P34">
        <v>6.23598026E-2</v>
      </c>
      <c r="Q34">
        <v>0.52220307249999998</v>
      </c>
    </row>
    <row r="35" spans="1:17">
      <c r="A35" s="99" t="s">
        <v>37</v>
      </c>
      <c r="B35">
        <v>5.8275057999999996E-3</v>
      </c>
      <c r="C35">
        <v>1.14810563E-2</v>
      </c>
      <c r="D35">
        <v>1.42095915E-2</v>
      </c>
      <c r="E35">
        <v>0</v>
      </c>
      <c r="F35">
        <v>0</v>
      </c>
      <c r="G35">
        <v>0</v>
      </c>
      <c r="H35">
        <v>0</v>
      </c>
      <c r="I35">
        <v>0</v>
      </c>
      <c r="J35">
        <v>8.7378640999999993E-3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4.0256017700000001E-2</v>
      </c>
    </row>
    <row r="36" spans="1:17">
      <c r="A36" s="99" t="s">
        <v>117</v>
      </c>
      <c r="B36">
        <v>3.5587189000000001E-3</v>
      </c>
      <c r="C36">
        <v>7.6754385999999999E-3</v>
      </c>
      <c r="D36">
        <v>9.6359743000000008E-3</v>
      </c>
      <c r="E36">
        <v>9.8039215999999995E-3</v>
      </c>
      <c r="F36">
        <v>7.2840791000000002E-3</v>
      </c>
      <c r="G36">
        <v>1.20967742E-2</v>
      </c>
      <c r="H36">
        <v>1.1661807600000001E-2</v>
      </c>
      <c r="I36">
        <v>8.2041933000000008E-3</v>
      </c>
      <c r="J36">
        <v>6.7763794999999996E-3</v>
      </c>
      <c r="K36">
        <v>1.40280561E-2</v>
      </c>
      <c r="M36">
        <v>1.3774104699999999E-2</v>
      </c>
      <c r="N36">
        <v>1.6129032299999999E-2</v>
      </c>
      <c r="O36">
        <v>0</v>
      </c>
      <c r="P36">
        <v>0</v>
      </c>
      <c r="Q36">
        <v>0.1206284802</v>
      </c>
    </row>
    <row r="37" spans="1:17">
      <c r="A37" s="99" t="s">
        <v>118</v>
      </c>
      <c r="B37">
        <v>1.49446019E-2</v>
      </c>
      <c r="C37">
        <v>1.6401016399999999E-2</v>
      </c>
      <c r="D37">
        <v>1.9981834699999999E-2</v>
      </c>
      <c r="E37">
        <v>1.7315135499999999E-2</v>
      </c>
      <c r="F37">
        <v>8.1105990999999992E-3</v>
      </c>
      <c r="G37">
        <v>9.8795924999999993E-3</v>
      </c>
      <c r="H37">
        <v>1.39044944E-2</v>
      </c>
      <c r="I37">
        <v>1.7248138E-2</v>
      </c>
      <c r="J37">
        <v>2.1107524200000002E-2</v>
      </c>
      <c r="K37">
        <v>1.9806649400000001E-2</v>
      </c>
      <c r="L37">
        <v>2.14837194E-2</v>
      </c>
      <c r="M37">
        <v>1.43815916E-2</v>
      </c>
      <c r="N37">
        <v>1.49035652E-2</v>
      </c>
      <c r="O37">
        <v>1.1498056099999999E-2</v>
      </c>
      <c r="P37">
        <v>0</v>
      </c>
      <c r="Q37">
        <v>0.22096651839999998</v>
      </c>
    </row>
    <row r="38" spans="1:17">
      <c r="A38" s="99" t="s">
        <v>119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3.1984649999999999E-4</v>
      </c>
      <c r="I38">
        <v>1.8015313E-3</v>
      </c>
      <c r="J38">
        <v>1.4863258E-3</v>
      </c>
      <c r="K38">
        <v>1.6159835E-3</v>
      </c>
      <c r="L38">
        <v>1.4609204E-3</v>
      </c>
      <c r="M38">
        <v>1.8691589E-3</v>
      </c>
      <c r="N38">
        <v>1.2278307999999999E-3</v>
      </c>
      <c r="O38">
        <v>7.643312E-4</v>
      </c>
      <c r="P38">
        <v>2.412545E-4</v>
      </c>
      <c r="Q38">
        <v>1.0787182899999997E-2</v>
      </c>
    </row>
    <row r="39" spans="1:17">
      <c r="A39" s="99" t="s">
        <v>40</v>
      </c>
      <c r="B39">
        <v>3.021148E-3</v>
      </c>
      <c r="C39">
        <v>3.8204393999999998E-3</v>
      </c>
      <c r="D39">
        <v>7.6154211999999999E-3</v>
      </c>
      <c r="E39">
        <v>1.02483248E-2</v>
      </c>
      <c r="G39">
        <v>8.4680523000000008E-3</v>
      </c>
      <c r="H39">
        <v>7.6335878000000001E-3</v>
      </c>
      <c r="I39">
        <v>6.4935065000000002E-3</v>
      </c>
      <c r="J39">
        <v>1.0831586299999999E-2</v>
      </c>
      <c r="K39">
        <v>5.1451672E-3</v>
      </c>
      <c r="L39">
        <v>7.2189756000000001E-3</v>
      </c>
      <c r="M39">
        <v>4.2706964999999998E-3</v>
      </c>
      <c r="N39">
        <v>7.2213501000000001E-3</v>
      </c>
      <c r="O39">
        <v>4.0455120000000002E-3</v>
      </c>
      <c r="P39">
        <v>0</v>
      </c>
      <c r="Q39">
        <v>8.60337677E-2</v>
      </c>
    </row>
    <row r="40" spans="1:17">
      <c r="A40" s="99" t="s">
        <v>121</v>
      </c>
      <c r="B40">
        <v>4.7531992699999998E-2</v>
      </c>
      <c r="C40">
        <v>4.42422341E-2</v>
      </c>
      <c r="D40">
        <v>4.2852415599999999E-2</v>
      </c>
      <c r="E40">
        <v>4.72952554E-2</v>
      </c>
      <c r="F40">
        <v>5.0393195299999999E-2</v>
      </c>
      <c r="G40">
        <v>2.9229904399999999E-2</v>
      </c>
      <c r="H40">
        <v>2.581978E-4</v>
      </c>
      <c r="I40">
        <v>3.3712219100000003E-2</v>
      </c>
      <c r="J40">
        <v>3.23284681E-2</v>
      </c>
      <c r="K40">
        <v>3.6693548399999998E-2</v>
      </c>
      <c r="L40">
        <v>3.9909838199999999E-2</v>
      </c>
      <c r="M40">
        <v>3.7689471500000002E-2</v>
      </c>
      <c r="N40">
        <v>3.3121722300000003E-2</v>
      </c>
      <c r="O40">
        <v>2.8526721200000001E-2</v>
      </c>
      <c r="P40">
        <v>0</v>
      </c>
      <c r="Q40">
        <v>0.50378518410000006</v>
      </c>
    </row>
    <row r="41" spans="1:17">
      <c r="A41" s="99" t="s">
        <v>120</v>
      </c>
      <c r="B41">
        <v>3.4125213299999999E-2</v>
      </c>
      <c r="C41">
        <v>3.0517711199999999E-2</v>
      </c>
      <c r="D41">
        <v>2.71799117E-2</v>
      </c>
      <c r="E41">
        <v>3.04682041E-2</v>
      </c>
      <c r="F41">
        <v>3.3463563799999999E-2</v>
      </c>
      <c r="G41">
        <v>2.0584894900000001E-2</v>
      </c>
      <c r="H41">
        <v>0</v>
      </c>
      <c r="I41">
        <v>2.34385771E-2</v>
      </c>
      <c r="J41">
        <v>2.5232018599999999E-2</v>
      </c>
      <c r="K41">
        <v>1.8062146000000001E-2</v>
      </c>
      <c r="L41">
        <v>2.1794061900000002E-2</v>
      </c>
      <c r="M41">
        <v>2.46971842E-2</v>
      </c>
      <c r="N41">
        <v>2.2958795800000001E-2</v>
      </c>
      <c r="O41">
        <v>9.8873936000000006E-3</v>
      </c>
      <c r="P41">
        <v>0</v>
      </c>
      <c r="Q41">
        <v>0.32240967620000005</v>
      </c>
    </row>
    <row r="42" spans="1:17">
      <c r="A42" s="99" t="s">
        <v>122</v>
      </c>
      <c r="B42">
        <v>2.46748421E-2</v>
      </c>
      <c r="C42">
        <v>2.2077344799999999E-2</v>
      </c>
      <c r="D42">
        <v>2.2564415300000001E-2</v>
      </c>
      <c r="E42">
        <v>2.10170488E-2</v>
      </c>
      <c r="F42">
        <v>2.92482916E-2</v>
      </c>
      <c r="G42">
        <v>1.1083841299999999E-2</v>
      </c>
      <c r="H42">
        <v>1.553398E-4</v>
      </c>
      <c r="I42">
        <v>1.3028060399999999E-2</v>
      </c>
      <c r="J42">
        <v>1.2927203700000001E-2</v>
      </c>
      <c r="K42">
        <v>1.4396363000000001E-2</v>
      </c>
      <c r="L42">
        <v>1.58829864E-2</v>
      </c>
      <c r="M42">
        <v>1.5256188800000001E-2</v>
      </c>
      <c r="N42">
        <v>1.85699244E-2</v>
      </c>
      <c r="O42">
        <v>1.01656297E-2</v>
      </c>
      <c r="P42">
        <v>0</v>
      </c>
      <c r="Q42">
        <v>0.23104748009999998</v>
      </c>
    </row>
    <row r="43" spans="1:17">
      <c r="A43" s="99" t="s">
        <v>134</v>
      </c>
      <c r="M43">
        <v>8.0000000000000002E-3</v>
      </c>
      <c r="N43">
        <v>2.5751073000000002E-3</v>
      </c>
      <c r="O43">
        <v>1.4727541E-3</v>
      </c>
      <c r="P43">
        <v>0</v>
      </c>
      <c r="Q43">
        <v>1.20478614E-2</v>
      </c>
    </row>
    <row r="44" spans="1:17">
      <c r="A44" s="99" t="s">
        <v>45</v>
      </c>
      <c r="B44">
        <v>0</v>
      </c>
      <c r="C44">
        <v>2.30434783E-2</v>
      </c>
      <c r="D44">
        <v>1.7202354E-2</v>
      </c>
      <c r="E44">
        <v>1.8371607500000001E-2</v>
      </c>
      <c r="F44">
        <v>1.8976897699999998E-2</v>
      </c>
      <c r="G44">
        <v>2.1621621600000002E-2</v>
      </c>
      <c r="H44">
        <v>2.4E-2</v>
      </c>
      <c r="I44">
        <v>2.5050100200000001E-2</v>
      </c>
      <c r="J44">
        <v>3.3204384300000001E-2</v>
      </c>
      <c r="K44">
        <v>3.7707948200000001E-2</v>
      </c>
      <c r="L44">
        <v>3.3960871199999999E-2</v>
      </c>
      <c r="M44">
        <v>3.4891598900000001E-2</v>
      </c>
      <c r="N44">
        <v>2.9156542899999999E-2</v>
      </c>
      <c r="O44">
        <v>2.9239766100000002E-2</v>
      </c>
      <c r="P44">
        <v>1.9532324600000001E-2</v>
      </c>
      <c r="Q44">
        <v>0.36595949549999995</v>
      </c>
    </row>
    <row r="45" spans="1:17">
      <c r="A45" s="98" t="s">
        <v>139</v>
      </c>
      <c r="B45">
        <v>1.6183745324999996</v>
      </c>
      <c r="C45">
        <v>1.6716012318999998</v>
      </c>
      <c r="D45">
        <v>1.6878203414000004</v>
      </c>
      <c r="E45">
        <v>1.8198143885000007</v>
      </c>
      <c r="F45">
        <v>1.7183033434000003</v>
      </c>
      <c r="G45">
        <v>1.6382778860999998</v>
      </c>
      <c r="H45">
        <v>1.6215896702000001</v>
      </c>
      <c r="I45">
        <v>1.8321126535000001</v>
      </c>
      <c r="J45">
        <v>1.8827267396</v>
      </c>
      <c r="K45">
        <v>1.9648751139999998</v>
      </c>
      <c r="L45">
        <v>1.9033074642999999</v>
      </c>
      <c r="M45">
        <v>1.8886909169999997</v>
      </c>
      <c r="N45">
        <v>1.7992614321000002</v>
      </c>
      <c r="O45">
        <v>1.8815131101999998</v>
      </c>
      <c r="P45">
        <v>1.9734128220999998</v>
      </c>
      <c r="Q45">
        <v>26.901681646799993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8"/>
  <sheetViews>
    <sheetView workbookViewId="0">
      <selection activeCell="J63" sqref="A1:J528"/>
    </sheetView>
  </sheetViews>
  <sheetFormatPr defaultRowHeight="9"/>
  <sheetData>
    <row r="1" spans="1:10">
      <c r="A1" s="96" t="s">
        <v>101</v>
      </c>
      <c r="B1" s="96" t="s">
        <v>102</v>
      </c>
      <c r="C1" s="96" t="s">
        <v>103</v>
      </c>
      <c r="D1" s="96" t="s">
        <v>104</v>
      </c>
      <c r="E1" s="96" t="s">
        <v>105</v>
      </c>
      <c r="F1" s="96" t="s">
        <v>106</v>
      </c>
      <c r="G1" s="96" t="s">
        <v>107</v>
      </c>
      <c r="H1" s="96" t="s">
        <v>108</v>
      </c>
      <c r="I1" s="96" t="s">
        <v>109</v>
      </c>
      <c r="J1" s="96" t="s">
        <v>110</v>
      </c>
    </row>
    <row r="2" spans="1:10">
      <c r="A2" s="96" t="s">
        <v>25</v>
      </c>
      <c r="B2" s="96" t="s">
        <v>111</v>
      </c>
      <c r="C2" s="96">
        <v>1996</v>
      </c>
      <c r="D2" s="96">
        <v>6</v>
      </c>
      <c r="E2" s="96">
        <v>1370</v>
      </c>
      <c r="F2" s="96">
        <v>27</v>
      </c>
      <c r="G2" s="96">
        <v>1403</v>
      </c>
      <c r="H2" s="96">
        <v>0.97647897360000002</v>
      </c>
      <c r="I2" s="96">
        <v>1.9244476100000001E-2</v>
      </c>
      <c r="J2" s="96">
        <v>4.2765501999999997E-3</v>
      </c>
    </row>
    <row r="3" spans="1:10">
      <c r="A3" s="96" t="s">
        <v>26</v>
      </c>
      <c r="B3" s="96" t="s">
        <v>111</v>
      </c>
      <c r="C3" s="96">
        <v>1996</v>
      </c>
      <c r="D3" s="96">
        <v>1</v>
      </c>
      <c r="E3" s="96">
        <v>2854</v>
      </c>
      <c r="F3" s="96">
        <v>9</v>
      </c>
      <c r="G3" s="96">
        <v>2864</v>
      </c>
      <c r="H3" s="96">
        <v>0.99650837989999996</v>
      </c>
      <c r="I3" s="96">
        <v>3.1424580999999999E-3</v>
      </c>
      <c r="J3" s="96">
        <v>3.4916199999999997E-4</v>
      </c>
    </row>
    <row r="4" spans="1:10">
      <c r="A4" s="96" t="s">
        <v>27</v>
      </c>
      <c r="B4" s="96" t="s">
        <v>111</v>
      </c>
      <c r="C4" s="96">
        <v>1996</v>
      </c>
      <c r="D4" s="96">
        <v>16</v>
      </c>
      <c r="E4" s="96">
        <v>3350</v>
      </c>
      <c r="F4" s="96">
        <v>5</v>
      </c>
      <c r="G4" s="96">
        <v>3371</v>
      </c>
      <c r="H4" s="96">
        <v>0.99377039450000004</v>
      </c>
      <c r="I4" s="96">
        <v>1.4832394E-3</v>
      </c>
      <c r="J4" s="96">
        <v>4.7463660999999997E-3</v>
      </c>
    </row>
    <row r="5" spans="1:10">
      <c r="A5" s="96" t="s">
        <v>112</v>
      </c>
      <c r="B5" s="96" t="s">
        <v>111</v>
      </c>
      <c r="C5" s="96">
        <v>1996</v>
      </c>
      <c r="D5" s="96">
        <v>12</v>
      </c>
      <c r="E5" s="96">
        <v>7723</v>
      </c>
      <c r="F5" s="96">
        <v>57</v>
      </c>
      <c r="G5" s="96">
        <v>7792</v>
      </c>
      <c r="H5" s="96">
        <v>0.99114476389999995</v>
      </c>
      <c r="I5" s="96">
        <v>7.3151950999999996E-3</v>
      </c>
      <c r="J5" s="96">
        <v>1.5400411000000001E-3</v>
      </c>
    </row>
    <row r="6" spans="1:10">
      <c r="A6" s="96" t="s">
        <v>113</v>
      </c>
      <c r="B6" s="96" t="s">
        <v>111</v>
      </c>
      <c r="C6" s="96">
        <v>1996</v>
      </c>
      <c r="D6" s="96">
        <v>6</v>
      </c>
      <c r="E6" s="96">
        <v>3947</v>
      </c>
      <c r="F6" s="96">
        <v>45</v>
      </c>
      <c r="G6" s="96">
        <v>3998</v>
      </c>
      <c r="H6" s="96">
        <v>0.98724362180000003</v>
      </c>
      <c r="I6" s="96">
        <v>1.1255627799999999E-2</v>
      </c>
      <c r="J6" s="96">
        <v>1.5007504000000001E-3</v>
      </c>
    </row>
    <row r="7" spans="1:10">
      <c r="A7" s="96" t="s">
        <v>114</v>
      </c>
      <c r="B7" s="96" t="s">
        <v>111</v>
      </c>
      <c r="C7" s="96">
        <v>1996</v>
      </c>
      <c r="D7" s="96">
        <v>125</v>
      </c>
      <c r="E7" s="96">
        <v>3789</v>
      </c>
      <c r="F7" s="96">
        <v>128</v>
      </c>
      <c r="G7" s="96">
        <v>4042</v>
      </c>
      <c r="H7" s="96">
        <v>0.93740722409999999</v>
      </c>
      <c r="I7" s="96">
        <v>3.1667491300000003E-2</v>
      </c>
      <c r="J7" s="96">
        <v>3.0925284500000001E-2</v>
      </c>
    </row>
    <row r="8" spans="1:10">
      <c r="A8" s="96" t="s">
        <v>115</v>
      </c>
      <c r="B8" s="96" t="s">
        <v>111</v>
      </c>
      <c r="C8" s="96">
        <v>1996</v>
      </c>
      <c r="D8" s="96">
        <v>3</v>
      </c>
      <c r="E8" s="96">
        <v>2156</v>
      </c>
      <c r="F8" s="96">
        <v>10</v>
      </c>
      <c r="G8" s="96">
        <v>2169</v>
      </c>
      <c r="H8" s="96">
        <v>0.99400645460000003</v>
      </c>
      <c r="I8" s="96">
        <v>4.6104194999999999E-3</v>
      </c>
      <c r="J8" s="96">
        <v>1.3831258999999999E-3</v>
      </c>
    </row>
    <row r="9" spans="1:10">
      <c r="A9" s="96" t="s">
        <v>37</v>
      </c>
      <c r="B9" s="96" t="s">
        <v>111</v>
      </c>
      <c r="C9" s="96">
        <v>1996</v>
      </c>
      <c r="D9" s="96">
        <v>11</v>
      </c>
      <c r="E9" s="96">
        <v>1695</v>
      </c>
      <c r="F9" s="96">
        <v>10</v>
      </c>
      <c r="G9" s="96">
        <v>1716</v>
      </c>
      <c r="H9" s="96">
        <v>0.98776223780000005</v>
      </c>
      <c r="I9" s="96">
        <v>5.8275057999999996E-3</v>
      </c>
      <c r="J9" s="96">
        <v>6.4102563999999997E-3</v>
      </c>
    </row>
    <row r="10" spans="1:10">
      <c r="A10" s="96" t="s">
        <v>116</v>
      </c>
      <c r="B10" s="96" t="s">
        <v>111</v>
      </c>
      <c r="C10" s="96">
        <v>1996</v>
      </c>
      <c r="D10" s="96">
        <v>4</v>
      </c>
      <c r="E10" s="96">
        <v>908</v>
      </c>
      <c r="F10" s="96">
        <v>57</v>
      </c>
      <c r="G10" s="96">
        <v>969</v>
      </c>
      <c r="H10" s="96">
        <v>0.93704850360000003</v>
      </c>
      <c r="I10" s="96">
        <v>5.8823529399999998E-2</v>
      </c>
      <c r="J10" s="96">
        <v>4.1279669999999997E-3</v>
      </c>
    </row>
    <row r="11" spans="1:10">
      <c r="A11" s="96" t="s">
        <v>117</v>
      </c>
      <c r="B11" s="96" t="s">
        <v>111</v>
      </c>
      <c r="C11" s="96">
        <v>1996</v>
      </c>
      <c r="D11" s="96">
        <v>1</v>
      </c>
      <c r="E11" s="96">
        <v>839</v>
      </c>
      <c r="F11" s="96">
        <v>3</v>
      </c>
      <c r="G11" s="96">
        <v>843</v>
      </c>
      <c r="H11" s="96">
        <v>0.99525504149999999</v>
      </c>
      <c r="I11" s="96">
        <v>3.5587189000000001E-3</v>
      </c>
      <c r="J11" s="96">
        <v>1.1862395999999999E-3</v>
      </c>
    </row>
    <row r="12" spans="1:10">
      <c r="A12" s="96" t="s">
        <v>118</v>
      </c>
      <c r="B12" s="96" t="s">
        <v>111</v>
      </c>
      <c r="C12" s="96">
        <v>1996</v>
      </c>
      <c r="D12" s="96">
        <v>31</v>
      </c>
      <c r="E12" s="96">
        <v>3792</v>
      </c>
      <c r="F12" s="96">
        <v>58</v>
      </c>
      <c r="G12" s="96">
        <v>3881</v>
      </c>
      <c r="H12" s="96">
        <v>0.977067766</v>
      </c>
      <c r="I12" s="96">
        <v>1.49446019E-2</v>
      </c>
      <c r="J12" s="96">
        <v>7.9876320999999993E-3</v>
      </c>
    </row>
    <row r="13" spans="1:10">
      <c r="A13" s="96" t="s">
        <v>119</v>
      </c>
      <c r="B13" s="96" t="s">
        <v>111</v>
      </c>
      <c r="C13" s="96">
        <v>1996</v>
      </c>
      <c r="D13" s="96">
        <v>1</v>
      </c>
      <c r="E13" s="96">
        <v>4595</v>
      </c>
      <c r="F13" s="96">
        <v>0</v>
      </c>
      <c r="G13" s="96">
        <v>4596</v>
      </c>
      <c r="H13" s="96">
        <v>0.99978241950000002</v>
      </c>
      <c r="I13" s="96">
        <v>0</v>
      </c>
      <c r="J13" s="96">
        <v>2.1758049999999999E-4</v>
      </c>
    </row>
    <row r="14" spans="1:10">
      <c r="A14" s="96" t="s">
        <v>120</v>
      </c>
      <c r="B14" s="96" t="s">
        <v>111</v>
      </c>
      <c r="C14" s="96">
        <v>1996</v>
      </c>
      <c r="D14" s="96">
        <v>25</v>
      </c>
      <c r="E14" s="96">
        <v>7334</v>
      </c>
      <c r="F14" s="96">
        <v>260</v>
      </c>
      <c r="G14" s="96">
        <v>7619</v>
      </c>
      <c r="H14" s="96">
        <v>0.9625935162</v>
      </c>
      <c r="I14" s="96">
        <v>3.4125213299999999E-2</v>
      </c>
      <c r="J14" s="96">
        <v>3.2812704999999999E-3</v>
      </c>
    </row>
    <row r="15" spans="1:10">
      <c r="A15" s="96" t="s">
        <v>121</v>
      </c>
      <c r="B15" s="96" t="s">
        <v>111</v>
      </c>
      <c r="C15" s="96">
        <v>1996</v>
      </c>
      <c r="D15" s="96">
        <v>110</v>
      </c>
      <c r="E15" s="96">
        <v>6142</v>
      </c>
      <c r="F15" s="96">
        <v>312</v>
      </c>
      <c r="G15" s="96">
        <v>6564</v>
      </c>
      <c r="H15" s="96">
        <v>0.93570993300000005</v>
      </c>
      <c r="I15" s="96">
        <v>4.7531992699999998E-2</v>
      </c>
      <c r="J15" s="96">
        <v>1.6758074299999998E-2</v>
      </c>
    </row>
    <row r="16" spans="1:10">
      <c r="A16" s="96" t="s">
        <v>122</v>
      </c>
      <c r="B16" s="96" t="s">
        <v>111</v>
      </c>
      <c r="C16" s="96">
        <v>1996</v>
      </c>
      <c r="D16" s="96">
        <v>136</v>
      </c>
      <c r="E16" s="96">
        <v>12987</v>
      </c>
      <c r="F16" s="96">
        <v>332</v>
      </c>
      <c r="G16" s="96">
        <v>13455</v>
      </c>
      <c r="H16" s="96">
        <v>0.96521739129999995</v>
      </c>
      <c r="I16" s="96">
        <v>2.46748421E-2</v>
      </c>
      <c r="J16" s="96">
        <v>1.01077666E-2</v>
      </c>
    </row>
    <row r="17" spans="1:10">
      <c r="A17" s="96" t="s">
        <v>40</v>
      </c>
      <c r="B17" s="96" t="s">
        <v>111</v>
      </c>
      <c r="C17" s="96">
        <v>1996</v>
      </c>
      <c r="D17" s="96">
        <v>2</v>
      </c>
      <c r="E17" s="96">
        <v>1978</v>
      </c>
      <c r="F17" s="96">
        <v>6</v>
      </c>
      <c r="G17" s="96">
        <v>1986</v>
      </c>
      <c r="H17" s="96">
        <v>0.99597180259999996</v>
      </c>
      <c r="I17" s="96">
        <v>3.021148E-3</v>
      </c>
      <c r="J17" s="96">
        <v>1.0070493E-3</v>
      </c>
    </row>
    <row r="18" spans="1:10">
      <c r="A18" s="96" t="s">
        <v>45</v>
      </c>
      <c r="B18" s="96" t="s">
        <v>111</v>
      </c>
      <c r="C18" s="96">
        <v>1996</v>
      </c>
      <c r="D18" s="96">
        <v>68</v>
      </c>
      <c r="E18" s="96">
        <v>2204</v>
      </c>
      <c r="F18" s="96">
        <v>0</v>
      </c>
      <c r="G18" s="96">
        <v>2272</v>
      </c>
      <c r="H18" s="96">
        <v>0.97007042249999997</v>
      </c>
      <c r="I18" s="96">
        <v>0</v>
      </c>
      <c r="J18" s="96">
        <v>2.9929577499999999E-2</v>
      </c>
    </row>
    <row r="19" spans="1:10">
      <c r="A19" s="96" t="s">
        <v>123</v>
      </c>
      <c r="B19" s="96" t="s">
        <v>124</v>
      </c>
      <c r="C19" s="96">
        <v>1996</v>
      </c>
      <c r="D19" s="96">
        <v>40</v>
      </c>
      <c r="E19" s="96">
        <v>1626</v>
      </c>
      <c r="F19" s="96">
        <v>55</v>
      </c>
      <c r="G19" s="96">
        <v>1721</v>
      </c>
      <c r="H19" s="96">
        <v>0.94479953520000004</v>
      </c>
      <c r="I19" s="96">
        <v>3.1958163900000003E-2</v>
      </c>
      <c r="J19" s="96">
        <v>2.3242301E-2</v>
      </c>
    </row>
    <row r="20" spans="1:10">
      <c r="A20" s="96" t="s">
        <v>14</v>
      </c>
      <c r="B20" s="96" t="s">
        <v>124</v>
      </c>
      <c r="C20" s="96">
        <v>1996</v>
      </c>
      <c r="D20" s="96">
        <v>49</v>
      </c>
      <c r="E20" s="96">
        <v>2289</v>
      </c>
      <c r="F20" s="96">
        <v>176</v>
      </c>
      <c r="G20" s="96">
        <v>2514</v>
      </c>
      <c r="H20" s="96">
        <v>0.91050119330000001</v>
      </c>
      <c r="I20" s="96">
        <v>7.0007955400000002E-2</v>
      </c>
      <c r="J20" s="96">
        <v>1.9490851199999999E-2</v>
      </c>
    </row>
    <row r="21" spans="1:10">
      <c r="A21" s="96" t="s">
        <v>125</v>
      </c>
      <c r="B21" s="96" t="s">
        <v>124</v>
      </c>
      <c r="C21" s="96">
        <v>1996</v>
      </c>
      <c r="D21" s="96">
        <v>33</v>
      </c>
      <c r="E21" s="96">
        <v>4954</v>
      </c>
      <c r="F21" s="96">
        <v>253</v>
      </c>
      <c r="G21" s="96">
        <v>5240</v>
      </c>
      <c r="H21" s="96">
        <v>0.94541984729999995</v>
      </c>
      <c r="I21" s="96">
        <v>4.8282442699999997E-2</v>
      </c>
      <c r="J21" s="96">
        <v>6.2977099000000002E-3</v>
      </c>
    </row>
    <row r="22" spans="1:10">
      <c r="A22" s="96" t="s">
        <v>126</v>
      </c>
      <c r="B22" s="96" t="s">
        <v>124</v>
      </c>
      <c r="C22" s="96">
        <v>1996</v>
      </c>
      <c r="D22" s="96">
        <v>289</v>
      </c>
      <c r="E22" s="96">
        <v>13342</v>
      </c>
      <c r="F22" s="96">
        <v>725</v>
      </c>
      <c r="G22" s="96">
        <v>14356</v>
      </c>
      <c r="H22" s="96">
        <v>0.92936751179999999</v>
      </c>
      <c r="I22" s="96">
        <v>5.0501532500000001E-2</v>
      </c>
      <c r="J22" s="96">
        <v>2.0130955700000001E-2</v>
      </c>
    </row>
    <row r="23" spans="1:10">
      <c r="A23" s="96" t="s">
        <v>127</v>
      </c>
      <c r="B23" s="96" t="s">
        <v>124</v>
      </c>
      <c r="C23" s="96">
        <v>1996</v>
      </c>
      <c r="D23" s="96">
        <v>131</v>
      </c>
      <c r="E23" s="96">
        <v>3466</v>
      </c>
      <c r="F23" s="96">
        <v>739</v>
      </c>
      <c r="G23" s="96">
        <v>4336</v>
      </c>
      <c r="H23" s="96">
        <v>0.79935424349999995</v>
      </c>
      <c r="I23" s="96">
        <v>0.1704335793</v>
      </c>
      <c r="J23" s="96">
        <v>3.0212177100000001E-2</v>
      </c>
    </row>
    <row r="24" spans="1:10">
      <c r="A24" s="96" t="s">
        <v>128</v>
      </c>
      <c r="B24" s="96" t="s">
        <v>124</v>
      </c>
      <c r="C24" s="96">
        <v>1996</v>
      </c>
      <c r="D24" s="96">
        <v>12</v>
      </c>
      <c r="E24" s="96">
        <v>4690</v>
      </c>
      <c r="F24" s="96">
        <v>323</v>
      </c>
      <c r="G24" s="96">
        <v>5025</v>
      </c>
      <c r="H24" s="96">
        <v>0.93333333330000001</v>
      </c>
      <c r="I24" s="96">
        <v>6.4278607000000001E-2</v>
      </c>
      <c r="J24" s="96">
        <v>2.3880596999999999E-3</v>
      </c>
    </row>
    <row r="25" spans="1:10">
      <c r="A25" s="96" t="s">
        <v>129</v>
      </c>
      <c r="B25" s="96" t="s">
        <v>124</v>
      </c>
      <c r="C25" s="96">
        <v>1996</v>
      </c>
      <c r="D25" s="96">
        <v>3561</v>
      </c>
      <c r="E25" s="96">
        <v>1199</v>
      </c>
      <c r="F25" s="96">
        <v>375</v>
      </c>
      <c r="G25" s="96">
        <v>5135</v>
      </c>
      <c r="H25" s="96">
        <v>0.23349561830000001</v>
      </c>
      <c r="I25" s="96">
        <v>7.3028237600000004E-2</v>
      </c>
      <c r="J25" s="96">
        <v>0.69347614410000002</v>
      </c>
    </row>
    <row r="26" spans="1:10">
      <c r="A26" s="96" t="s">
        <v>130</v>
      </c>
      <c r="B26" s="96" t="s">
        <v>124</v>
      </c>
      <c r="C26" s="96">
        <v>1996</v>
      </c>
      <c r="D26" s="96">
        <v>300</v>
      </c>
      <c r="E26" s="96">
        <v>6062</v>
      </c>
      <c r="F26" s="96">
        <v>729</v>
      </c>
      <c r="G26" s="96">
        <v>7091</v>
      </c>
      <c r="H26" s="96">
        <v>0.85488647579999999</v>
      </c>
      <c r="I26" s="96">
        <v>0.1028063743</v>
      </c>
      <c r="J26" s="96">
        <v>4.23071499E-2</v>
      </c>
    </row>
    <row r="27" spans="1:10">
      <c r="A27" s="96" t="s">
        <v>19</v>
      </c>
      <c r="B27" s="96" t="s">
        <v>124</v>
      </c>
      <c r="C27" s="96">
        <v>1996</v>
      </c>
      <c r="D27" s="96">
        <v>134</v>
      </c>
      <c r="E27" s="96">
        <v>4507</v>
      </c>
      <c r="F27" s="96">
        <v>1380</v>
      </c>
      <c r="G27" s="96">
        <v>6021</v>
      </c>
      <c r="H27" s="96">
        <v>0.74854675299999995</v>
      </c>
      <c r="I27" s="96">
        <v>0.22919780770000001</v>
      </c>
      <c r="J27" s="96">
        <v>2.2255439299999999E-2</v>
      </c>
    </row>
    <row r="28" spans="1:10">
      <c r="A28" s="96" t="s">
        <v>131</v>
      </c>
      <c r="B28" s="96" t="s">
        <v>124</v>
      </c>
      <c r="C28" s="96">
        <v>1996</v>
      </c>
      <c r="D28" s="96">
        <v>325</v>
      </c>
      <c r="E28" s="96">
        <v>8197</v>
      </c>
      <c r="F28" s="96">
        <v>362</v>
      </c>
      <c r="G28" s="96">
        <v>8884</v>
      </c>
      <c r="H28" s="96">
        <v>0.92266996850000005</v>
      </c>
      <c r="I28" s="96">
        <v>4.0747411099999999E-2</v>
      </c>
      <c r="J28" s="96">
        <v>3.6582620400000002E-2</v>
      </c>
    </row>
    <row r="29" spans="1:10">
      <c r="A29" s="96" t="s">
        <v>20</v>
      </c>
      <c r="B29" s="96" t="s">
        <v>124</v>
      </c>
      <c r="C29" s="96">
        <v>1996</v>
      </c>
      <c r="D29" s="96">
        <v>340</v>
      </c>
      <c r="E29" s="96">
        <v>14984</v>
      </c>
      <c r="F29" s="96">
        <v>1821</v>
      </c>
      <c r="G29" s="96">
        <v>17145</v>
      </c>
      <c r="H29" s="96">
        <v>0.87395742200000004</v>
      </c>
      <c r="I29" s="96">
        <v>0.10621172349999999</v>
      </c>
      <c r="J29" s="96">
        <v>1.9830854500000002E-2</v>
      </c>
    </row>
    <row r="30" spans="1:10">
      <c r="A30" s="96" t="s">
        <v>21</v>
      </c>
      <c r="B30" s="96" t="s">
        <v>124</v>
      </c>
      <c r="C30" s="96">
        <v>1996</v>
      </c>
      <c r="D30" s="96">
        <v>232</v>
      </c>
      <c r="E30" s="96">
        <v>4372</v>
      </c>
      <c r="F30" s="96">
        <v>849</v>
      </c>
      <c r="G30" s="96">
        <v>5453</v>
      </c>
      <c r="H30" s="96">
        <v>0.8017604988</v>
      </c>
      <c r="I30" s="96">
        <v>0.15569411329999999</v>
      </c>
      <c r="J30" s="96">
        <v>4.2545387900000002E-2</v>
      </c>
    </row>
    <row r="31" spans="1:10">
      <c r="A31" s="96" t="s">
        <v>22</v>
      </c>
      <c r="B31" s="96" t="s">
        <v>124</v>
      </c>
      <c r="C31" s="96">
        <v>1996</v>
      </c>
      <c r="D31" s="96">
        <v>316</v>
      </c>
      <c r="E31" s="96">
        <v>8854</v>
      </c>
      <c r="F31" s="96">
        <v>366</v>
      </c>
      <c r="G31" s="96">
        <v>9536</v>
      </c>
      <c r="H31" s="96">
        <v>0.92848154360000001</v>
      </c>
      <c r="I31" s="96">
        <v>3.8380872500000003E-2</v>
      </c>
      <c r="J31" s="96">
        <v>3.3137583900000003E-2</v>
      </c>
    </row>
    <row r="32" spans="1:10">
      <c r="A32" s="96" t="s">
        <v>25</v>
      </c>
      <c r="B32" s="96" t="s">
        <v>111</v>
      </c>
      <c r="C32" s="96">
        <v>1997</v>
      </c>
      <c r="D32" s="96">
        <v>9</v>
      </c>
      <c r="E32" s="96">
        <v>1326</v>
      </c>
      <c r="F32" s="96">
        <v>33</v>
      </c>
      <c r="G32" s="96">
        <v>1368</v>
      </c>
      <c r="H32" s="96">
        <v>0.9692982456</v>
      </c>
      <c r="I32" s="96">
        <v>2.4122807E-2</v>
      </c>
      <c r="J32" s="96">
        <v>6.5789474000000001E-3</v>
      </c>
    </row>
    <row r="33" spans="1:10">
      <c r="A33" s="96" t="s">
        <v>26</v>
      </c>
      <c r="B33" s="96" t="s">
        <v>111</v>
      </c>
      <c r="C33" s="96">
        <v>1997</v>
      </c>
      <c r="D33" s="96">
        <v>1</v>
      </c>
      <c r="E33" s="96">
        <v>2911</v>
      </c>
      <c r="F33" s="96">
        <v>2</v>
      </c>
      <c r="G33" s="96">
        <v>2914</v>
      </c>
      <c r="H33" s="96">
        <v>0.99897048730000004</v>
      </c>
      <c r="I33" s="96">
        <v>6.8634179999999998E-4</v>
      </c>
      <c r="J33" s="96">
        <v>3.4317089999999999E-4</v>
      </c>
    </row>
    <row r="34" spans="1:10">
      <c r="A34" s="96" t="s">
        <v>27</v>
      </c>
      <c r="B34" s="96" t="s">
        <v>111</v>
      </c>
      <c r="C34" s="96">
        <v>1997</v>
      </c>
      <c r="D34" s="96">
        <v>7</v>
      </c>
      <c r="E34" s="96">
        <v>3387</v>
      </c>
      <c r="F34" s="96">
        <v>5</v>
      </c>
      <c r="G34" s="96">
        <v>3399</v>
      </c>
      <c r="H34" s="96">
        <v>0.99646954990000003</v>
      </c>
      <c r="I34" s="96">
        <v>1.4710209000000001E-3</v>
      </c>
      <c r="J34" s="96">
        <v>2.0594291999999998E-3</v>
      </c>
    </row>
    <row r="35" spans="1:10">
      <c r="A35" s="96" t="s">
        <v>112</v>
      </c>
      <c r="B35" s="96" t="s">
        <v>111</v>
      </c>
      <c r="C35" s="96">
        <v>1997</v>
      </c>
      <c r="D35" s="96">
        <v>10</v>
      </c>
      <c r="E35" s="96">
        <v>7693</v>
      </c>
      <c r="F35" s="96">
        <v>49</v>
      </c>
      <c r="G35" s="96">
        <v>7752</v>
      </c>
      <c r="H35" s="96">
        <v>0.99238906090000001</v>
      </c>
      <c r="I35" s="96">
        <v>6.3209494000000003E-3</v>
      </c>
      <c r="J35" s="96">
        <v>1.2899897000000001E-3</v>
      </c>
    </row>
    <row r="36" spans="1:10">
      <c r="A36" s="96" t="s">
        <v>113</v>
      </c>
      <c r="B36" s="96" t="s">
        <v>111</v>
      </c>
      <c r="C36" s="96">
        <v>1997</v>
      </c>
      <c r="D36" s="96">
        <v>15</v>
      </c>
      <c r="E36" s="96">
        <v>3991</v>
      </c>
      <c r="F36" s="96">
        <v>57</v>
      </c>
      <c r="G36" s="96">
        <v>4063</v>
      </c>
      <c r="H36" s="96">
        <v>0.98227910409999997</v>
      </c>
      <c r="I36" s="96">
        <v>1.40290426E-2</v>
      </c>
      <c r="J36" s="96">
        <v>3.6918532999999998E-3</v>
      </c>
    </row>
    <row r="37" spans="1:10">
      <c r="A37" s="96" t="s">
        <v>114</v>
      </c>
      <c r="B37" s="96" t="s">
        <v>111</v>
      </c>
      <c r="C37" s="96">
        <v>1997</v>
      </c>
      <c r="D37" s="96">
        <v>151</v>
      </c>
      <c r="E37" s="96">
        <v>3647</v>
      </c>
      <c r="F37" s="96">
        <v>133</v>
      </c>
      <c r="G37" s="96">
        <v>3931</v>
      </c>
      <c r="H37" s="96">
        <v>0.9277537522</v>
      </c>
      <c r="I37" s="96">
        <v>3.3833630099999998E-2</v>
      </c>
      <c r="J37" s="96">
        <v>3.8412617699999999E-2</v>
      </c>
    </row>
    <row r="38" spans="1:10">
      <c r="A38" s="96" t="s">
        <v>115</v>
      </c>
      <c r="B38" s="96" t="s">
        <v>111</v>
      </c>
      <c r="C38" s="96">
        <v>1997</v>
      </c>
      <c r="D38" s="96">
        <v>2</v>
      </c>
      <c r="E38" s="96">
        <v>2295</v>
      </c>
      <c r="F38" s="96">
        <v>20</v>
      </c>
      <c r="G38" s="96">
        <v>2317</v>
      </c>
      <c r="H38" s="96">
        <v>0.99050496330000004</v>
      </c>
      <c r="I38" s="96">
        <v>8.6318514999999991E-3</v>
      </c>
      <c r="J38" s="96">
        <v>8.631852E-4</v>
      </c>
    </row>
    <row r="39" spans="1:10">
      <c r="A39" s="96" t="s">
        <v>37</v>
      </c>
      <c r="B39" s="96" t="s">
        <v>111</v>
      </c>
      <c r="C39" s="96">
        <v>1997</v>
      </c>
      <c r="D39" s="96">
        <v>25</v>
      </c>
      <c r="E39" s="96">
        <v>1697</v>
      </c>
      <c r="F39" s="96">
        <v>20</v>
      </c>
      <c r="G39" s="96">
        <v>1742</v>
      </c>
      <c r="H39" s="96">
        <v>0.97416762339999996</v>
      </c>
      <c r="I39" s="96">
        <v>1.14810563E-2</v>
      </c>
      <c r="J39" s="96">
        <v>1.43513203E-2</v>
      </c>
    </row>
    <row r="40" spans="1:10">
      <c r="A40" s="96" t="s">
        <v>116</v>
      </c>
      <c r="B40" s="96" t="s">
        <v>111</v>
      </c>
      <c r="C40" s="96">
        <v>1997</v>
      </c>
      <c r="D40" s="96">
        <v>8</v>
      </c>
      <c r="E40" s="96">
        <v>985</v>
      </c>
      <c r="F40" s="96">
        <v>31</v>
      </c>
      <c r="G40" s="96">
        <v>1024</v>
      </c>
      <c r="H40" s="96">
        <v>0.9619140625</v>
      </c>
      <c r="I40" s="96">
        <v>3.02734375E-2</v>
      </c>
      <c r="J40" s="96">
        <v>7.8125E-3</v>
      </c>
    </row>
    <row r="41" spans="1:10">
      <c r="A41" s="96" t="s">
        <v>117</v>
      </c>
      <c r="B41" s="96" t="s">
        <v>111</v>
      </c>
      <c r="C41" s="96">
        <v>1997</v>
      </c>
      <c r="D41" s="96">
        <v>9</v>
      </c>
      <c r="E41" s="96">
        <v>896</v>
      </c>
      <c r="F41" s="96">
        <v>7</v>
      </c>
      <c r="G41" s="96">
        <v>912</v>
      </c>
      <c r="H41" s="96">
        <v>0.98245614039999996</v>
      </c>
      <c r="I41" s="96">
        <v>7.6754385999999999E-3</v>
      </c>
      <c r="J41" s="96">
        <v>9.8684211000000001E-3</v>
      </c>
    </row>
    <row r="42" spans="1:10">
      <c r="A42" s="96" t="s">
        <v>118</v>
      </c>
      <c r="B42" s="96" t="s">
        <v>111</v>
      </c>
      <c r="C42" s="96">
        <v>1997</v>
      </c>
      <c r="D42" s="96">
        <v>41</v>
      </c>
      <c r="E42" s="96">
        <v>4217</v>
      </c>
      <c r="F42" s="96">
        <v>71</v>
      </c>
      <c r="G42" s="96">
        <v>4329</v>
      </c>
      <c r="H42" s="96">
        <v>0.97412797409999996</v>
      </c>
      <c r="I42" s="96">
        <v>1.6401016399999999E-2</v>
      </c>
      <c r="J42" s="96">
        <v>9.4710095000000005E-3</v>
      </c>
    </row>
    <row r="43" spans="1:10">
      <c r="A43" s="96" t="s">
        <v>119</v>
      </c>
      <c r="B43" s="96" t="s">
        <v>111</v>
      </c>
      <c r="C43" s="96">
        <v>1997</v>
      </c>
      <c r="D43" s="96">
        <v>2</v>
      </c>
      <c r="E43" s="96">
        <v>4840</v>
      </c>
      <c r="F43" s="96">
        <v>0</v>
      </c>
      <c r="G43" s="96">
        <v>4842</v>
      </c>
      <c r="H43" s="96">
        <v>0.99958694749999999</v>
      </c>
      <c r="I43" s="96">
        <v>0</v>
      </c>
      <c r="J43" s="96">
        <v>4.1305250000000002E-4</v>
      </c>
    </row>
    <row r="44" spans="1:10">
      <c r="A44" s="96" t="s">
        <v>120</v>
      </c>
      <c r="B44" s="96" t="s">
        <v>111</v>
      </c>
      <c r="C44" s="96">
        <v>1997</v>
      </c>
      <c r="D44" s="96">
        <v>32</v>
      </c>
      <c r="E44" s="96">
        <v>7084</v>
      </c>
      <c r="F44" s="96">
        <v>224</v>
      </c>
      <c r="G44" s="96">
        <v>7340</v>
      </c>
      <c r="H44" s="96">
        <v>0.96512261580000003</v>
      </c>
      <c r="I44" s="96">
        <v>3.0517711199999999E-2</v>
      </c>
      <c r="J44" s="96">
        <v>4.3596729999999997E-3</v>
      </c>
    </row>
    <row r="45" spans="1:10">
      <c r="A45" s="96" t="s">
        <v>121</v>
      </c>
      <c r="B45" s="96" t="s">
        <v>111</v>
      </c>
      <c r="C45" s="96">
        <v>1997</v>
      </c>
      <c r="D45" s="96">
        <v>153</v>
      </c>
      <c r="E45" s="96">
        <v>5939</v>
      </c>
      <c r="F45" s="96">
        <v>282</v>
      </c>
      <c r="G45" s="96">
        <v>6374</v>
      </c>
      <c r="H45" s="96">
        <v>0.93175400060000002</v>
      </c>
      <c r="I45" s="96">
        <v>4.42422341E-2</v>
      </c>
      <c r="J45" s="96">
        <v>2.40037653E-2</v>
      </c>
    </row>
    <row r="46" spans="1:10">
      <c r="A46" s="96" t="s">
        <v>122</v>
      </c>
      <c r="B46" s="96" t="s">
        <v>111</v>
      </c>
      <c r="C46" s="96">
        <v>1997</v>
      </c>
      <c r="D46" s="96">
        <v>179</v>
      </c>
      <c r="E46" s="96">
        <v>13021</v>
      </c>
      <c r="F46" s="96">
        <v>298</v>
      </c>
      <c r="G46" s="96">
        <v>13498</v>
      </c>
      <c r="H46" s="96">
        <v>0.96466143130000004</v>
      </c>
      <c r="I46" s="96">
        <v>2.2077344799999999E-2</v>
      </c>
      <c r="J46" s="96">
        <v>1.3261223900000001E-2</v>
      </c>
    </row>
    <row r="47" spans="1:10">
      <c r="A47" s="96" t="s">
        <v>40</v>
      </c>
      <c r="B47" s="96" t="s">
        <v>111</v>
      </c>
      <c r="C47" s="96">
        <v>1997</v>
      </c>
      <c r="D47" s="96">
        <v>12</v>
      </c>
      <c r="E47" s="96">
        <v>2074</v>
      </c>
      <c r="F47" s="96">
        <v>8</v>
      </c>
      <c r="G47" s="96">
        <v>2094</v>
      </c>
      <c r="H47" s="96">
        <v>0.99044890159999999</v>
      </c>
      <c r="I47" s="96">
        <v>3.8204393999999998E-3</v>
      </c>
      <c r="J47" s="96">
        <v>5.7306589999999999E-3</v>
      </c>
    </row>
    <row r="48" spans="1:10">
      <c r="A48" s="96" t="s">
        <v>45</v>
      </c>
      <c r="B48" s="96" t="s">
        <v>111</v>
      </c>
      <c r="C48" s="96">
        <v>1997</v>
      </c>
      <c r="D48" s="96">
        <v>12</v>
      </c>
      <c r="E48" s="96">
        <v>2235</v>
      </c>
      <c r="F48" s="96">
        <v>53</v>
      </c>
      <c r="G48" s="96">
        <v>2300</v>
      </c>
      <c r="H48" s="96">
        <v>0.97173913040000004</v>
      </c>
      <c r="I48" s="96">
        <v>2.30434783E-2</v>
      </c>
      <c r="J48" s="96">
        <v>5.2173912999999997E-3</v>
      </c>
    </row>
    <row r="49" spans="1:10">
      <c r="A49" s="96" t="s">
        <v>123</v>
      </c>
      <c r="B49" s="96" t="s">
        <v>124</v>
      </c>
      <c r="C49" s="96">
        <v>1997</v>
      </c>
      <c r="D49" s="96">
        <v>49</v>
      </c>
      <c r="E49" s="96">
        <v>1621</v>
      </c>
      <c r="F49" s="96">
        <v>43</v>
      </c>
      <c r="G49" s="96">
        <v>1713</v>
      </c>
      <c r="H49" s="96">
        <v>0.9462930531</v>
      </c>
      <c r="I49" s="96">
        <v>2.5102159999999998E-2</v>
      </c>
      <c r="J49" s="96">
        <v>2.8604786900000002E-2</v>
      </c>
    </row>
    <row r="50" spans="1:10">
      <c r="A50" s="96" t="s">
        <v>14</v>
      </c>
      <c r="B50" s="96" t="s">
        <v>124</v>
      </c>
      <c r="C50" s="96">
        <v>1997</v>
      </c>
      <c r="D50" s="96">
        <v>74</v>
      </c>
      <c r="E50" s="96">
        <v>2320</v>
      </c>
      <c r="F50" s="96">
        <v>166</v>
      </c>
      <c r="G50" s="96">
        <v>2560</v>
      </c>
      <c r="H50" s="96">
        <v>0.90625</v>
      </c>
      <c r="I50" s="96">
        <v>6.4843750000000006E-2</v>
      </c>
      <c r="J50" s="96">
        <v>2.8906250000000001E-2</v>
      </c>
    </row>
    <row r="51" spans="1:10">
      <c r="A51" s="96" t="s">
        <v>125</v>
      </c>
      <c r="B51" s="96" t="s">
        <v>124</v>
      </c>
      <c r="C51" s="96">
        <v>1997</v>
      </c>
      <c r="D51" s="96">
        <v>36</v>
      </c>
      <c r="E51" s="96">
        <v>5095</v>
      </c>
      <c r="F51" s="96">
        <v>264</v>
      </c>
      <c r="G51" s="96">
        <v>5395</v>
      </c>
      <c r="H51" s="96">
        <v>0.94439295639999998</v>
      </c>
      <c r="I51" s="96">
        <v>4.8934198300000002E-2</v>
      </c>
      <c r="J51" s="96">
        <v>6.6728452000000002E-3</v>
      </c>
    </row>
    <row r="52" spans="1:10">
      <c r="A52" s="96" t="s">
        <v>126</v>
      </c>
      <c r="B52" s="96" t="s">
        <v>124</v>
      </c>
      <c r="C52" s="96">
        <v>1997</v>
      </c>
      <c r="D52" s="96">
        <v>319</v>
      </c>
      <c r="E52" s="96">
        <v>13022</v>
      </c>
      <c r="F52" s="96">
        <v>784</v>
      </c>
      <c r="G52" s="96">
        <v>14125</v>
      </c>
      <c r="H52" s="96">
        <v>0.92191150440000003</v>
      </c>
      <c r="I52" s="96">
        <v>5.55044248E-2</v>
      </c>
      <c r="J52" s="96">
        <v>2.2584070800000001E-2</v>
      </c>
    </row>
    <row r="53" spans="1:10">
      <c r="A53" s="96" t="s">
        <v>127</v>
      </c>
      <c r="B53" s="96" t="s">
        <v>124</v>
      </c>
      <c r="C53" s="96">
        <v>1997</v>
      </c>
      <c r="D53" s="96">
        <v>150</v>
      </c>
      <c r="E53" s="96">
        <v>3234</v>
      </c>
      <c r="F53" s="96">
        <v>718</v>
      </c>
      <c r="G53" s="96">
        <v>4102</v>
      </c>
      <c r="H53" s="96">
        <v>0.78839590439999996</v>
      </c>
      <c r="I53" s="96">
        <v>0.17503656749999999</v>
      </c>
      <c r="J53" s="96">
        <v>3.6567528000000002E-2</v>
      </c>
    </row>
    <row r="54" spans="1:10">
      <c r="A54" s="96" t="s">
        <v>128</v>
      </c>
      <c r="B54" s="96" t="s">
        <v>124</v>
      </c>
      <c r="C54" s="96">
        <v>1997</v>
      </c>
      <c r="D54" s="96">
        <v>16</v>
      </c>
      <c r="E54" s="96">
        <v>4782</v>
      </c>
      <c r="F54" s="96">
        <v>355</v>
      </c>
      <c r="G54" s="96">
        <v>5153</v>
      </c>
      <c r="H54" s="96">
        <v>0.92800310500000005</v>
      </c>
      <c r="I54" s="96">
        <v>6.8891907599999996E-2</v>
      </c>
      <c r="J54" s="96">
        <v>3.1049874000000002E-3</v>
      </c>
    </row>
    <row r="55" spans="1:10">
      <c r="A55" s="96" t="s">
        <v>129</v>
      </c>
      <c r="B55" s="96" t="s">
        <v>124</v>
      </c>
      <c r="C55" s="96">
        <v>1997</v>
      </c>
      <c r="D55" s="96">
        <v>2543</v>
      </c>
      <c r="E55" s="96">
        <v>2062</v>
      </c>
      <c r="F55" s="96">
        <v>610</v>
      </c>
      <c r="G55" s="96">
        <v>5215</v>
      </c>
      <c r="H55" s="96">
        <v>0.39539789069999998</v>
      </c>
      <c r="I55" s="96">
        <v>0.116970278</v>
      </c>
      <c r="J55" s="96">
        <v>0.48763183129999998</v>
      </c>
    </row>
    <row r="56" spans="1:10">
      <c r="A56" s="96" t="s">
        <v>130</v>
      </c>
      <c r="B56" s="96" t="s">
        <v>124</v>
      </c>
      <c r="C56" s="96">
        <v>1997</v>
      </c>
      <c r="D56" s="96">
        <v>194</v>
      </c>
      <c r="E56" s="96">
        <v>6065</v>
      </c>
      <c r="F56" s="96">
        <v>753</v>
      </c>
      <c r="G56" s="96">
        <v>7012</v>
      </c>
      <c r="H56" s="96">
        <v>0.86494580720000003</v>
      </c>
      <c r="I56" s="96">
        <v>0.107387336</v>
      </c>
      <c r="J56" s="96">
        <v>2.76668568E-2</v>
      </c>
    </row>
    <row r="57" spans="1:10">
      <c r="A57" s="96" t="s">
        <v>19</v>
      </c>
      <c r="B57" s="96" t="s">
        <v>124</v>
      </c>
      <c r="C57" s="96">
        <v>1997</v>
      </c>
      <c r="D57" s="96">
        <v>135</v>
      </c>
      <c r="E57" s="96">
        <v>4582</v>
      </c>
      <c r="F57" s="96">
        <v>1335</v>
      </c>
      <c r="G57" s="96">
        <v>6052</v>
      </c>
      <c r="H57" s="96">
        <v>0.75710508919999997</v>
      </c>
      <c r="I57" s="96">
        <v>0.22058823529999999</v>
      </c>
      <c r="J57" s="96">
        <v>2.2306675500000001E-2</v>
      </c>
    </row>
    <row r="58" spans="1:10">
      <c r="A58" s="96" t="s">
        <v>131</v>
      </c>
      <c r="B58" s="96" t="s">
        <v>124</v>
      </c>
      <c r="C58" s="96">
        <v>1997</v>
      </c>
      <c r="D58" s="96">
        <v>316</v>
      </c>
      <c r="E58" s="96">
        <v>8048</v>
      </c>
      <c r="F58" s="96">
        <v>353</v>
      </c>
      <c r="G58" s="96">
        <v>8717</v>
      </c>
      <c r="H58" s="96">
        <v>0.92325341289999996</v>
      </c>
      <c r="I58" s="96">
        <v>4.0495583299999999E-2</v>
      </c>
      <c r="J58" s="96">
        <v>3.6251003800000001E-2</v>
      </c>
    </row>
    <row r="59" spans="1:10">
      <c r="A59" s="96" t="s">
        <v>20</v>
      </c>
      <c r="B59" s="96" t="s">
        <v>124</v>
      </c>
      <c r="C59" s="96">
        <v>1997</v>
      </c>
      <c r="D59" s="96">
        <v>341</v>
      </c>
      <c r="E59" s="96">
        <v>15120</v>
      </c>
      <c r="F59" s="96">
        <v>1873</v>
      </c>
      <c r="G59" s="96">
        <v>17334</v>
      </c>
      <c r="H59" s="96">
        <v>0.87227414329999997</v>
      </c>
      <c r="I59" s="96">
        <v>0.1080535364</v>
      </c>
      <c r="J59" s="96">
        <v>1.9672320300000001E-2</v>
      </c>
    </row>
    <row r="60" spans="1:10">
      <c r="A60" s="96" t="s">
        <v>21</v>
      </c>
      <c r="B60" s="96" t="s">
        <v>124</v>
      </c>
      <c r="C60" s="96">
        <v>1997</v>
      </c>
      <c r="D60" s="96">
        <v>236</v>
      </c>
      <c r="E60" s="96">
        <v>4559</v>
      </c>
      <c r="F60" s="96">
        <v>874</v>
      </c>
      <c r="G60" s="96">
        <v>5669</v>
      </c>
      <c r="H60" s="96">
        <v>0.80419827129999999</v>
      </c>
      <c r="I60" s="96">
        <v>0.15417181160000001</v>
      </c>
      <c r="J60" s="96">
        <v>4.1629917099999997E-2</v>
      </c>
    </row>
    <row r="61" spans="1:10">
      <c r="A61" s="96" t="s">
        <v>22</v>
      </c>
      <c r="B61" s="96" t="s">
        <v>124</v>
      </c>
      <c r="C61" s="96">
        <v>1997</v>
      </c>
      <c r="D61" s="96">
        <v>353</v>
      </c>
      <c r="E61" s="96">
        <v>8624</v>
      </c>
      <c r="F61" s="96">
        <v>343</v>
      </c>
      <c r="G61" s="96">
        <v>9320</v>
      </c>
      <c r="H61" s="96">
        <v>0.92532188839999996</v>
      </c>
      <c r="I61" s="96">
        <v>3.6802575099999998E-2</v>
      </c>
      <c r="J61" s="96">
        <v>3.7875536500000001E-2</v>
      </c>
    </row>
    <row r="62" spans="1:10">
      <c r="A62" s="96" t="s">
        <v>25</v>
      </c>
      <c r="B62" s="96" t="s">
        <v>111</v>
      </c>
      <c r="C62" s="96">
        <v>1998</v>
      </c>
      <c r="D62" s="96">
        <v>32</v>
      </c>
      <c r="E62" s="96">
        <v>1467</v>
      </c>
      <c r="F62" s="96">
        <v>25</v>
      </c>
      <c r="G62" s="96">
        <v>1524</v>
      </c>
      <c r="H62" s="96">
        <v>0.96259842520000005</v>
      </c>
      <c r="I62" s="96">
        <v>1.6404199500000001E-2</v>
      </c>
      <c r="J62" s="96">
        <v>2.0997375299999999E-2</v>
      </c>
    </row>
    <row r="63" spans="1:10">
      <c r="A63" s="96" t="s">
        <v>26</v>
      </c>
      <c r="B63" s="96" t="s">
        <v>111</v>
      </c>
      <c r="C63" s="96">
        <v>1998</v>
      </c>
      <c r="D63" s="96">
        <v>1</v>
      </c>
      <c r="E63" s="96">
        <v>2926</v>
      </c>
      <c r="F63" s="96">
        <v>6</v>
      </c>
      <c r="G63" s="96">
        <v>2933</v>
      </c>
      <c r="H63" s="96">
        <v>0.99761336519999999</v>
      </c>
      <c r="I63" s="96">
        <v>2.045687E-3</v>
      </c>
      <c r="J63" s="96">
        <v>3.4094779999999997E-4</v>
      </c>
    </row>
    <row r="64" spans="1:10">
      <c r="A64" s="96" t="s">
        <v>27</v>
      </c>
      <c r="B64" s="96" t="s">
        <v>111</v>
      </c>
      <c r="C64" s="96">
        <v>1998</v>
      </c>
      <c r="D64" s="96">
        <v>29</v>
      </c>
      <c r="E64" s="96">
        <v>3444</v>
      </c>
      <c r="F64" s="96">
        <v>14</v>
      </c>
      <c r="G64" s="96">
        <v>3487</v>
      </c>
      <c r="H64" s="96">
        <v>0.98766848289999998</v>
      </c>
      <c r="I64" s="96">
        <v>4.0149125000000004E-3</v>
      </c>
      <c r="J64" s="96">
        <v>8.3166044999999997E-3</v>
      </c>
    </row>
    <row r="65" spans="1:10">
      <c r="A65" s="96" t="s">
        <v>112</v>
      </c>
      <c r="B65" s="96" t="s">
        <v>111</v>
      </c>
      <c r="C65" s="96">
        <v>1998</v>
      </c>
      <c r="D65" s="96">
        <v>7</v>
      </c>
      <c r="E65" s="96">
        <v>7862</v>
      </c>
      <c r="F65" s="96">
        <v>64</v>
      </c>
      <c r="G65" s="96">
        <v>7933</v>
      </c>
      <c r="H65" s="96">
        <v>0.99105004409999997</v>
      </c>
      <c r="I65" s="96">
        <v>8.0675659000000004E-3</v>
      </c>
      <c r="J65" s="96">
        <v>8.8239000000000004E-4</v>
      </c>
    </row>
    <row r="66" spans="1:10">
      <c r="A66" s="96" t="s">
        <v>113</v>
      </c>
      <c r="B66" s="96" t="s">
        <v>111</v>
      </c>
      <c r="C66" s="96">
        <v>1998</v>
      </c>
      <c r="D66" s="96">
        <v>11</v>
      </c>
      <c r="E66" s="96">
        <v>4215</v>
      </c>
      <c r="F66" s="96">
        <v>63</v>
      </c>
      <c r="G66" s="96">
        <v>4289</v>
      </c>
      <c r="H66" s="96">
        <v>0.98274656100000002</v>
      </c>
      <c r="I66" s="96">
        <v>1.4688738600000001E-2</v>
      </c>
      <c r="J66" s="96">
        <v>2.5647004000000002E-3</v>
      </c>
    </row>
    <row r="67" spans="1:10">
      <c r="A67" s="96" t="s">
        <v>114</v>
      </c>
      <c r="B67" s="96" t="s">
        <v>111</v>
      </c>
      <c r="C67" s="96">
        <v>1998</v>
      </c>
      <c r="D67" s="96">
        <v>219</v>
      </c>
      <c r="E67" s="96">
        <v>4134</v>
      </c>
      <c r="F67" s="96">
        <v>131</v>
      </c>
      <c r="G67" s="96">
        <v>4484</v>
      </c>
      <c r="H67" s="96">
        <v>0.92194469219999997</v>
      </c>
      <c r="I67" s="96">
        <v>2.9214986599999999E-2</v>
      </c>
      <c r="J67" s="96">
        <v>4.88403211E-2</v>
      </c>
    </row>
    <row r="68" spans="1:10">
      <c r="A68" s="96" t="s">
        <v>115</v>
      </c>
      <c r="B68" s="96" t="s">
        <v>111</v>
      </c>
      <c r="C68" s="96">
        <v>1998</v>
      </c>
      <c r="D68" s="96">
        <v>7</v>
      </c>
      <c r="E68" s="96">
        <v>2266</v>
      </c>
      <c r="F68" s="96">
        <v>15</v>
      </c>
      <c r="G68" s="96">
        <v>2288</v>
      </c>
      <c r="H68" s="96">
        <v>0.9903846154</v>
      </c>
      <c r="I68" s="96">
        <v>6.5559440999999998E-3</v>
      </c>
      <c r="J68" s="96">
        <v>3.0594405999999998E-3</v>
      </c>
    </row>
    <row r="69" spans="1:10">
      <c r="A69" s="96" t="s">
        <v>37</v>
      </c>
      <c r="B69" s="96" t="s">
        <v>111</v>
      </c>
      <c r="C69" s="96">
        <v>1998</v>
      </c>
      <c r="D69" s="96">
        <v>19</v>
      </c>
      <c r="E69" s="96">
        <v>1646</v>
      </c>
      <c r="F69" s="96">
        <v>24</v>
      </c>
      <c r="G69" s="96">
        <v>1689</v>
      </c>
      <c r="H69" s="96">
        <v>0.97454114859999996</v>
      </c>
      <c r="I69" s="96">
        <v>1.42095915E-2</v>
      </c>
      <c r="J69" s="96">
        <v>1.1249259899999999E-2</v>
      </c>
    </row>
    <row r="70" spans="1:10">
      <c r="A70" s="96" t="s">
        <v>117</v>
      </c>
      <c r="B70" s="96" t="s">
        <v>111</v>
      </c>
      <c r="C70" s="96">
        <v>1998</v>
      </c>
      <c r="D70" s="96">
        <v>11</v>
      </c>
      <c r="E70" s="96">
        <v>914</v>
      </c>
      <c r="F70" s="96">
        <v>9</v>
      </c>
      <c r="G70" s="96">
        <v>934</v>
      </c>
      <c r="H70" s="96">
        <v>0.9785867238</v>
      </c>
      <c r="I70" s="96">
        <v>9.6359743000000008E-3</v>
      </c>
      <c r="J70" s="96">
        <v>1.17773019E-2</v>
      </c>
    </row>
    <row r="71" spans="1:10">
      <c r="A71" s="96" t="s">
        <v>118</v>
      </c>
      <c r="B71" s="96" t="s">
        <v>111</v>
      </c>
      <c r="C71" s="96">
        <v>1998</v>
      </c>
      <c r="D71" s="96">
        <v>41</v>
      </c>
      <c r="E71" s="96">
        <v>4275</v>
      </c>
      <c r="F71" s="96">
        <v>88</v>
      </c>
      <c r="G71" s="96">
        <v>4404</v>
      </c>
      <c r="H71" s="96">
        <v>0.97070844690000002</v>
      </c>
      <c r="I71" s="96">
        <v>1.9981834699999999E-2</v>
      </c>
      <c r="J71" s="96">
        <v>9.3097183999999999E-3</v>
      </c>
    </row>
    <row r="72" spans="1:10">
      <c r="A72" s="96" t="s">
        <v>119</v>
      </c>
      <c r="B72" s="96" t="s">
        <v>111</v>
      </c>
      <c r="C72" s="96">
        <v>1998</v>
      </c>
      <c r="D72" s="96">
        <v>2</v>
      </c>
      <c r="E72" s="96">
        <v>5095</v>
      </c>
      <c r="F72" s="96">
        <v>0</v>
      </c>
      <c r="G72" s="96">
        <v>5097</v>
      </c>
      <c r="H72" s="96">
        <v>0.99960761229999995</v>
      </c>
      <c r="I72" s="96">
        <v>0</v>
      </c>
      <c r="J72" s="96">
        <v>3.9238769999999998E-4</v>
      </c>
    </row>
    <row r="73" spans="1:10">
      <c r="A73" s="96" t="s">
        <v>120</v>
      </c>
      <c r="B73" s="96" t="s">
        <v>111</v>
      </c>
      <c r="C73" s="96">
        <v>1998</v>
      </c>
      <c r="D73" s="96">
        <v>34</v>
      </c>
      <c r="E73" s="96">
        <v>7017</v>
      </c>
      <c r="F73" s="96">
        <v>197</v>
      </c>
      <c r="G73" s="96">
        <v>7248</v>
      </c>
      <c r="H73" s="96">
        <v>0.96812913909999998</v>
      </c>
      <c r="I73" s="96">
        <v>2.71799117E-2</v>
      </c>
      <c r="J73" s="96">
        <v>4.6909491999999999E-3</v>
      </c>
    </row>
    <row r="74" spans="1:10">
      <c r="A74" s="96" t="s">
        <v>121</v>
      </c>
      <c r="B74" s="96" t="s">
        <v>111</v>
      </c>
      <c r="C74" s="96">
        <v>1998</v>
      </c>
      <c r="D74" s="96">
        <v>156</v>
      </c>
      <c r="E74" s="96">
        <v>5629</v>
      </c>
      <c r="F74" s="96">
        <v>259</v>
      </c>
      <c r="G74" s="96">
        <v>6044</v>
      </c>
      <c r="H74" s="96">
        <v>0.93133686299999996</v>
      </c>
      <c r="I74" s="96">
        <v>4.2852415599999999E-2</v>
      </c>
      <c r="J74" s="96">
        <v>2.58107214E-2</v>
      </c>
    </row>
    <row r="75" spans="1:10">
      <c r="A75" s="96" t="s">
        <v>122</v>
      </c>
      <c r="B75" s="96" t="s">
        <v>111</v>
      </c>
      <c r="C75" s="96">
        <v>1998</v>
      </c>
      <c r="D75" s="96">
        <v>175</v>
      </c>
      <c r="E75" s="96">
        <v>12647</v>
      </c>
      <c r="F75" s="96">
        <v>296</v>
      </c>
      <c r="G75" s="96">
        <v>13118</v>
      </c>
      <c r="H75" s="96">
        <v>0.96409513650000001</v>
      </c>
      <c r="I75" s="96">
        <v>2.2564415300000001E-2</v>
      </c>
      <c r="J75" s="96">
        <v>1.33404482E-2</v>
      </c>
    </row>
    <row r="76" spans="1:10">
      <c r="A76" s="96" t="s">
        <v>40</v>
      </c>
      <c r="B76" s="96" t="s">
        <v>111</v>
      </c>
      <c r="C76" s="96">
        <v>1998</v>
      </c>
      <c r="D76" s="96">
        <v>1</v>
      </c>
      <c r="E76" s="96">
        <v>2084</v>
      </c>
      <c r="F76" s="96">
        <v>16</v>
      </c>
      <c r="G76" s="96">
        <v>2101</v>
      </c>
      <c r="H76" s="96">
        <v>0.99190861490000004</v>
      </c>
      <c r="I76" s="96">
        <v>7.6154211999999999E-3</v>
      </c>
      <c r="J76" s="96">
        <v>4.7596379999999998E-4</v>
      </c>
    </row>
    <row r="77" spans="1:10">
      <c r="A77" s="96" t="s">
        <v>45</v>
      </c>
      <c r="B77" s="96" t="s">
        <v>111</v>
      </c>
      <c r="C77" s="96">
        <v>1998</v>
      </c>
      <c r="D77" s="96">
        <v>16</v>
      </c>
      <c r="E77" s="96">
        <v>2155</v>
      </c>
      <c r="F77" s="96">
        <v>38</v>
      </c>
      <c r="G77" s="96">
        <v>2209</v>
      </c>
      <c r="H77" s="96">
        <v>0.97555454959999999</v>
      </c>
      <c r="I77" s="96">
        <v>1.7202354E-2</v>
      </c>
      <c r="J77" s="96">
        <v>7.2430964000000002E-3</v>
      </c>
    </row>
    <row r="78" spans="1:10">
      <c r="A78" s="96" t="s">
        <v>123</v>
      </c>
      <c r="B78" s="96" t="s">
        <v>124</v>
      </c>
      <c r="C78" s="96">
        <v>1998</v>
      </c>
      <c r="D78" s="96">
        <v>60</v>
      </c>
      <c r="E78" s="96">
        <v>1621</v>
      </c>
      <c r="F78" s="96">
        <v>48</v>
      </c>
      <c r="G78" s="96">
        <v>1729</v>
      </c>
      <c r="H78" s="96">
        <v>0.93753614809999997</v>
      </c>
      <c r="I78" s="96">
        <v>2.7761712000000001E-2</v>
      </c>
      <c r="J78" s="96">
        <v>3.4702139999999999E-2</v>
      </c>
    </row>
    <row r="79" spans="1:10">
      <c r="A79" s="96" t="s">
        <v>14</v>
      </c>
      <c r="B79" s="96" t="s">
        <v>124</v>
      </c>
      <c r="C79" s="96">
        <v>1998</v>
      </c>
      <c r="D79" s="96">
        <v>105</v>
      </c>
      <c r="E79" s="96">
        <v>2494</v>
      </c>
      <c r="F79" s="96">
        <v>162</v>
      </c>
      <c r="G79" s="96">
        <v>2761</v>
      </c>
      <c r="H79" s="96">
        <v>0.90329590729999998</v>
      </c>
      <c r="I79" s="96">
        <v>5.8674393300000002E-2</v>
      </c>
      <c r="J79" s="96">
        <v>3.8029699399999999E-2</v>
      </c>
    </row>
    <row r="80" spans="1:10">
      <c r="A80" s="96" t="s">
        <v>125</v>
      </c>
      <c r="B80" s="96" t="s">
        <v>124</v>
      </c>
      <c r="C80" s="96">
        <v>1998</v>
      </c>
      <c r="D80" s="96">
        <v>43</v>
      </c>
      <c r="E80" s="96">
        <v>5201</v>
      </c>
      <c r="F80" s="96">
        <v>294</v>
      </c>
      <c r="G80" s="96">
        <v>5538</v>
      </c>
      <c r="H80" s="96">
        <v>0.93914770680000004</v>
      </c>
      <c r="I80" s="96">
        <v>5.3087757300000003E-2</v>
      </c>
      <c r="J80" s="96">
        <v>7.7645359000000002E-3</v>
      </c>
    </row>
    <row r="81" spans="1:10">
      <c r="A81" s="96" t="s">
        <v>126</v>
      </c>
      <c r="B81" s="96" t="s">
        <v>124</v>
      </c>
      <c r="C81" s="96">
        <v>1998</v>
      </c>
      <c r="D81" s="96">
        <v>316</v>
      </c>
      <c r="E81" s="96">
        <v>12662</v>
      </c>
      <c r="F81" s="96">
        <v>782</v>
      </c>
      <c r="G81" s="96">
        <v>13760</v>
      </c>
      <c r="H81" s="96">
        <v>0.92020348839999999</v>
      </c>
      <c r="I81" s="96">
        <v>5.6831395299999997E-2</v>
      </c>
      <c r="J81" s="96">
        <v>2.2965116300000001E-2</v>
      </c>
    </row>
    <row r="82" spans="1:10">
      <c r="A82" s="96" t="s">
        <v>127</v>
      </c>
      <c r="B82" s="96" t="s">
        <v>124</v>
      </c>
      <c r="C82" s="96">
        <v>1998</v>
      </c>
      <c r="D82" s="96">
        <v>151</v>
      </c>
      <c r="E82" s="96">
        <v>3189</v>
      </c>
      <c r="F82" s="96">
        <v>708</v>
      </c>
      <c r="G82" s="96">
        <v>4048</v>
      </c>
      <c r="H82" s="96">
        <v>0.78779644270000004</v>
      </c>
      <c r="I82" s="96">
        <v>0.1749011858</v>
      </c>
      <c r="J82" s="96">
        <v>3.7302371500000001E-2</v>
      </c>
    </row>
    <row r="83" spans="1:10">
      <c r="A83" s="96" t="s">
        <v>128</v>
      </c>
      <c r="B83" s="96" t="s">
        <v>124</v>
      </c>
      <c r="C83" s="96">
        <v>1998</v>
      </c>
      <c r="D83" s="96">
        <v>19</v>
      </c>
      <c r="E83" s="96">
        <v>4757</v>
      </c>
      <c r="F83" s="96">
        <v>354</v>
      </c>
      <c r="G83" s="96">
        <v>5130</v>
      </c>
      <c r="H83" s="96">
        <v>0.92729044829999996</v>
      </c>
      <c r="I83" s="96">
        <v>6.9005847999999995E-2</v>
      </c>
      <c r="J83" s="96">
        <v>3.7037036999999998E-3</v>
      </c>
    </row>
    <row r="84" spans="1:10">
      <c r="A84" s="96" t="s">
        <v>129</v>
      </c>
      <c r="B84" s="96" t="s">
        <v>124</v>
      </c>
      <c r="C84" s="96">
        <v>1998</v>
      </c>
      <c r="D84" s="96">
        <v>1790</v>
      </c>
      <c r="E84" s="96">
        <v>2570</v>
      </c>
      <c r="F84" s="96">
        <v>784</v>
      </c>
      <c r="G84" s="96">
        <v>5144</v>
      </c>
      <c r="H84" s="96">
        <v>0.49961119749999999</v>
      </c>
      <c r="I84" s="96">
        <v>0.1524105754</v>
      </c>
      <c r="J84" s="96">
        <v>0.34797822709999998</v>
      </c>
    </row>
    <row r="85" spans="1:10">
      <c r="A85" s="96" t="s">
        <v>130</v>
      </c>
      <c r="B85" s="96" t="s">
        <v>124</v>
      </c>
      <c r="C85" s="96">
        <v>1998</v>
      </c>
      <c r="D85" s="96">
        <v>176</v>
      </c>
      <c r="E85" s="96">
        <v>6145</v>
      </c>
      <c r="F85" s="96">
        <v>743</v>
      </c>
      <c r="G85" s="96">
        <v>7064</v>
      </c>
      <c r="H85" s="96">
        <v>0.86990373730000004</v>
      </c>
      <c r="I85" s="96">
        <v>0.1051812005</v>
      </c>
      <c r="J85" s="96">
        <v>2.4915062299999999E-2</v>
      </c>
    </row>
    <row r="86" spans="1:10">
      <c r="A86" s="96" t="s">
        <v>19</v>
      </c>
      <c r="B86" s="96" t="s">
        <v>124</v>
      </c>
      <c r="C86" s="96">
        <v>1998</v>
      </c>
      <c r="D86" s="96">
        <v>165</v>
      </c>
      <c r="E86" s="96">
        <v>4611</v>
      </c>
      <c r="F86" s="96">
        <v>1309</v>
      </c>
      <c r="G86" s="96">
        <v>6085</v>
      </c>
      <c r="H86" s="96">
        <v>0.75776499590000002</v>
      </c>
      <c r="I86" s="96">
        <v>0.21511914539999999</v>
      </c>
      <c r="J86" s="96">
        <v>2.7115858699999999E-2</v>
      </c>
    </row>
    <row r="87" spans="1:10">
      <c r="A87" s="96" t="s">
        <v>131</v>
      </c>
      <c r="B87" s="96" t="s">
        <v>124</v>
      </c>
      <c r="C87" s="96">
        <v>1998</v>
      </c>
      <c r="D87" s="96">
        <v>315</v>
      </c>
      <c r="E87" s="96">
        <v>7929</v>
      </c>
      <c r="F87" s="96">
        <v>391</v>
      </c>
      <c r="G87" s="96">
        <v>8635</v>
      </c>
      <c r="H87" s="96">
        <v>0.91823972210000004</v>
      </c>
      <c r="I87" s="96">
        <v>4.5280833800000003E-2</v>
      </c>
      <c r="J87" s="96">
        <v>3.6479444100000001E-2</v>
      </c>
    </row>
    <row r="88" spans="1:10">
      <c r="A88" s="96" t="s">
        <v>20</v>
      </c>
      <c r="B88" s="96" t="s">
        <v>124</v>
      </c>
      <c r="C88" s="96">
        <v>1998</v>
      </c>
      <c r="D88" s="96">
        <v>286</v>
      </c>
      <c r="E88" s="96">
        <v>15407</v>
      </c>
      <c r="F88" s="96">
        <v>1985</v>
      </c>
      <c r="G88" s="96">
        <v>17678</v>
      </c>
      <c r="H88" s="96">
        <v>0.87153524149999995</v>
      </c>
      <c r="I88" s="96">
        <v>0.11228645769999999</v>
      </c>
      <c r="J88" s="96">
        <v>1.6178300699999999E-2</v>
      </c>
    </row>
    <row r="89" spans="1:10">
      <c r="A89" s="96" t="s">
        <v>21</v>
      </c>
      <c r="B89" s="96" t="s">
        <v>124</v>
      </c>
      <c r="C89" s="96">
        <v>1998</v>
      </c>
      <c r="D89" s="96">
        <v>191</v>
      </c>
      <c r="E89" s="96">
        <v>4575</v>
      </c>
      <c r="F89" s="96">
        <v>928</v>
      </c>
      <c r="G89" s="96">
        <v>5694</v>
      </c>
      <c r="H89" s="96">
        <v>0.80347734459999998</v>
      </c>
      <c r="I89" s="96">
        <v>0.16297857390000001</v>
      </c>
      <c r="J89" s="96">
        <v>3.3544081500000003E-2</v>
      </c>
    </row>
    <row r="90" spans="1:10">
      <c r="A90" s="96" t="s">
        <v>22</v>
      </c>
      <c r="B90" s="96" t="s">
        <v>124</v>
      </c>
      <c r="C90" s="96">
        <v>1998</v>
      </c>
      <c r="D90" s="96">
        <v>374</v>
      </c>
      <c r="E90" s="96">
        <v>8915</v>
      </c>
      <c r="F90" s="96">
        <v>357</v>
      </c>
      <c r="G90" s="96">
        <v>9646</v>
      </c>
      <c r="H90" s="96">
        <v>0.92421729210000003</v>
      </c>
      <c r="I90" s="96">
        <v>3.7010159700000003E-2</v>
      </c>
      <c r="J90" s="96">
        <v>3.87725482E-2</v>
      </c>
    </row>
    <row r="91" spans="1:10">
      <c r="A91" s="96" t="s">
        <v>25</v>
      </c>
      <c r="B91" s="96" t="s">
        <v>111</v>
      </c>
      <c r="C91" s="96">
        <v>1999</v>
      </c>
      <c r="D91" s="96">
        <v>31</v>
      </c>
      <c r="E91" s="96">
        <v>1542</v>
      </c>
      <c r="F91" s="96">
        <v>23</v>
      </c>
      <c r="G91" s="96">
        <v>1596</v>
      </c>
      <c r="H91" s="96">
        <v>0.96616541349999996</v>
      </c>
      <c r="I91" s="96">
        <v>1.4411027599999999E-2</v>
      </c>
      <c r="J91" s="96">
        <v>1.9423558899999999E-2</v>
      </c>
    </row>
    <row r="92" spans="1:10">
      <c r="A92" s="96" t="s">
        <v>26</v>
      </c>
      <c r="B92" s="96" t="s">
        <v>111</v>
      </c>
      <c r="C92" s="96">
        <v>1999</v>
      </c>
      <c r="D92" s="96">
        <v>1</v>
      </c>
      <c r="E92" s="96">
        <v>3187</v>
      </c>
      <c r="F92" s="96">
        <v>2</v>
      </c>
      <c r="G92" s="96">
        <v>3190</v>
      </c>
      <c r="H92" s="96">
        <v>0.99905956110000005</v>
      </c>
      <c r="I92" s="96">
        <v>6.2695920000000003E-4</v>
      </c>
      <c r="J92" s="96">
        <v>3.1347960000000001E-4</v>
      </c>
    </row>
    <row r="93" spans="1:10">
      <c r="A93" s="96" t="s">
        <v>27</v>
      </c>
      <c r="B93" s="96" t="s">
        <v>111</v>
      </c>
      <c r="C93" s="96">
        <v>1999</v>
      </c>
      <c r="D93" s="96">
        <v>856</v>
      </c>
      <c r="E93" s="96">
        <v>2582</v>
      </c>
      <c r="F93" s="96">
        <v>22</v>
      </c>
      <c r="G93" s="96">
        <v>3460</v>
      </c>
      <c r="H93" s="96">
        <v>0.74624277459999999</v>
      </c>
      <c r="I93" s="96">
        <v>6.3583815000000004E-3</v>
      </c>
      <c r="J93" s="96">
        <v>0.2473988439</v>
      </c>
    </row>
    <row r="94" spans="1:10">
      <c r="A94" s="96" t="s">
        <v>28</v>
      </c>
      <c r="B94" s="96" t="s">
        <v>111</v>
      </c>
      <c r="C94" s="96">
        <v>1999</v>
      </c>
      <c r="D94" s="96">
        <v>9</v>
      </c>
      <c r="E94" s="96">
        <v>738</v>
      </c>
      <c r="F94" s="96">
        <v>7</v>
      </c>
      <c r="G94" s="96">
        <v>754</v>
      </c>
      <c r="H94" s="96">
        <v>0.97877984080000002</v>
      </c>
      <c r="I94" s="96">
        <v>9.2838195999999998E-3</v>
      </c>
      <c r="J94" s="96">
        <v>1.19363395E-2</v>
      </c>
    </row>
    <row r="95" spans="1:10">
      <c r="A95" s="96" t="s">
        <v>112</v>
      </c>
      <c r="B95" s="96" t="s">
        <v>111</v>
      </c>
      <c r="C95" s="96">
        <v>1999</v>
      </c>
      <c r="D95" s="96">
        <v>13</v>
      </c>
      <c r="E95" s="96">
        <v>7922</v>
      </c>
      <c r="F95" s="96">
        <v>64</v>
      </c>
      <c r="G95" s="96">
        <v>7999</v>
      </c>
      <c r="H95" s="96">
        <v>0.99037379670000003</v>
      </c>
      <c r="I95" s="96">
        <v>8.0010001000000008E-3</v>
      </c>
      <c r="J95" s="96">
        <v>1.6252032E-3</v>
      </c>
    </row>
    <row r="96" spans="1:10">
      <c r="A96" s="96" t="s">
        <v>113</v>
      </c>
      <c r="B96" s="96" t="s">
        <v>111</v>
      </c>
      <c r="C96" s="96">
        <v>1999</v>
      </c>
      <c r="D96" s="96">
        <v>17</v>
      </c>
      <c r="E96" s="96">
        <v>4192</v>
      </c>
      <c r="F96" s="96">
        <v>46</v>
      </c>
      <c r="G96" s="96">
        <v>4255</v>
      </c>
      <c r="H96" s="96">
        <v>0.98519388949999998</v>
      </c>
      <c r="I96" s="96">
        <v>1.0810810800000001E-2</v>
      </c>
      <c r="J96" s="96">
        <v>3.9952996000000001E-3</v>
      </c>
    </row>
    <row r="97" spans="1:10">
      <c r="A97" s="96" t="s">
        <v>114</v>
      </c>
      <c r="B97" s="96" t="s">
        <v>111</v>
      </c>
      <c r="C97" s="96">
        <v>1999</v>
      </c>
      <c r="D97" s="96">
        <v>205</v>
      </c>
      <c r="E97" s="96">
        <v>3785</v>
      </c>
      <c r="F97" s="96">
        <v>110</v>
      </c>
      <c r="G97" s="96">
        <v>4100</v>
      </c>
      <c r="H97" s="96">
        <v>0.92317073169999997</v>
      </c>
      <c r="I97" s="96">
        <v>2.68292683E-2</v>
      </c>
      <c r="J97" s="96">
        <v>0.05</v>
      </c>
    </row>
    <row r="98" spans="1:10">
      <c r="A98" s="96" t="s">
        <v>115</v>
      </c>
      <c r="B98" s="96" t="s">
        <v>111</v>
      </c>
      <c r="C98" s="96">
        <v>1999</v>
      </c>
      <c r="D98" s="96">
        <v>9</v>
      </c>
      <c r="E98" s="96">
        <v>2255</v>
      </c>
      <c r="F98" s="96">
        <v>10</v>
      </c>
      <c r="G98" s="96">
        <v>2274</v>
      </c>
      <c r="H98" s="96">
        <v>0.99164467899999997</v>
      </c>
      <c r="I98" s="96">
        <v>4.3975374000000001E-3</v>
      </c>
      <c r="J98" s="96">
        <v>3.9577835999999996E-3</v>
      </c>
    </row>
    <row r="99" spans="1:10">
      <c r="A99" s="96" t="s">
        <v>37</v>
      </c>
      <c r="B99" s="96" t="s">
        <v>111</v>
      </c>
      <c r="C99" s="96">
        <v>1999</v>
      </c>
      <c r="D99" s="96">
        <v>46</v>
      </c>
      <c r="E99" s="96">
        <v>2217</v>
      </c>
      <c r="F99" s="96">
        <v>0</v>
      </c>
      <c r="G99" s="96">
        <v>2263</v>
      </c>
      <c r="H99" s="96">
        <v>0.97967300040000005</v>
      </c>
      <c r="I99" s="96">
        <v>0</v>
      </c>
      <c r="J99" s="96">
        <v>2.0326999599999999E-2</v>
      </c>
    </row>
    <row r="100" spans="1:10">
      <c r="A100" s="96" t="s">
        <v>116</v>
      </c>
      <c r="B100" s="96" t="s">
        <v>111</v>
      </c>
      <c r="C100" s="96">
        <v>1999</v>
      </c>
      <c r="D100" s="96">
        <v>20</v>
      </c>
      <c r="E100" s="96">
        <v>938</v>
      </c>
      <c r="F100" s="96">
        <v>90</v>
      </c>
      <c r="G100" s="96">
        <v>1048</v>
      </c>
      <c r="H100" s="96">
        <v>0.89503816790000001</v>
      </c>
      <c r="I100" s="96">
        <v>8.5877862599999993E-2</v>
      </c>
      <c r="J100" s="96">
        <v>1.9083969499999999E-2</v>
      </c>
    </row>
    <row r="101" spans="1:10">
      <c r="A101" s="96" t="s">
        <v>117</v>
      </c>
      <c r="B101" s="96" t="s">
        <v>111</v>
      </c>
      <c r="C101" s="96">
        <v>1999</v>
      </c>
      <c r="D101" s="96">
        <v>5</v>
      </c>
      <c r="E101" s="96">
        <v>904</v>
      </c>
      <c r="F101" s="96">
        <v>9</v>
      </c>
      <c r="G101" s="96">
        <v>918</v>
      </c>
      <c r="H101" s="96">
        <v>0.98474945530000002</v>
      </c>
      <c r="I101" s="96">
        <v>9.8039215999999995E-3</v>
      </c>
      <c r="J101" s="96">
        <v>5.4466230999999999E-3</v>
      </c>
    </row>
    <row r="102" spans="1:10">
      <c r="A102" s="96" t="s">
        <v>118</v>
      </c>
      <c r="B102" s="96" t="s">
        <v>111</v>
      </c>
      <c r="C102" s="96">
        <v>1999</v>
      </c>
      <c r="D102" s="96">
        <v>56</v>
      </c>
      <c r="E102" s="96">
        <v>4768</v>
      </c>
      <c r="F102" s="96">
        <v>85</v>
      </c>
      <c r="G102" s="96">
        <v>4909</v>
      </c>
      <c r="H102" s="96">
        <v>0.97127724589999997</v>
      </c>
      <c r="I102" s="96">
        <v>1.7315135499999999E-2</v>
      </c>
      <c r="J102" s="96">
        <v>1.14076187E-2</v>
      </c>
    </row>
    <row r="103" spans="1:10">
      <c r="A103" s="96" t="s">
        <v>119</v>
      </c>
      <c r="B103" s="96" t="s">
        <v>111</v>
      </c>
      <c r="C103" s="96">
        <v>1999</v>
      </c>
      <c r="D103" s="96">
        <v>5</v>
      </c>
      <c r="E103" s="96">
        <v>5226</v>
      </c>
      <c r="F103" s="96">
        <v>0</v>
      </c>
      <c r="G103" s="96">
        <v>5231</v>
      </c>
      <c r="H103" s="96">
        <v>0.99904415980000005</v>
      </c>
      <c r="I103" s="96">
        <v>0</v>
      </c>
      <c r="J103" s="96">
        <v>9.5584019999999997E-4</v>
      </c>
    </row>
    <row r="104" spans="1:10">
      <c r="A104" s="96" t="s">
        <v>120</v>
      </c>
      <c r="B104" s="96" t="s">
        <v>111</v>
      </c>
      <c r="C104" s="96">
        <v>1999</v>
      </c>
      <c r="D104" s="96">
        <v>31</v>
      </c>
      <c r="E104" s="96">
        <v>6906</v>
      </c>
      <c r="F104" s="96">
        <v>218</v>
      </c>
      <c r="G104" s="96">
        <v>7155</v>
      </c>
      <c r="H104" s="96">
        <v>0.96519916139999995</v>
      </c>
      <c r="I104" s="96">
        <v>3.04682041E-2</v>
      </c>
      <c r="J104" s="96">
        <v>4.3326344999999999E-3</v>
      </c>
    </row>
    <row r="105" spans="1:10">
      <c r="A105" s="96" t="s">
        <v>121</v>
      </c>
      <c r="B105" s="96" t="s">
        <v>111</v>
      </c>
      <c r="C105" s="96">
        <v>1999</v>
      </c>
      <c r="D105" s="96">
        <v>138</v>
      </c>
      <c r="E105" s="96">
        <v>6167</v>
      </c>
      <c r="F105" s="96">
        <v>313</v>
      </c>
      <c r="G105" s="96">
        <v>6618</v>
      </c>
      <c r="H105" s="96">
        <v>0.93185252340000002</v>
      </c>
      <c r="I105" s="96">
        <v>4.72952554E-2</v>
      </c>
      <c r="J105" s="96">
        <v>2.08522212E-2</v>
      </c>
    </row>
    <row r="106" spans="1:10">
      <c r="A106" s="96" t="s">
        <v>122</v>
      </c>
      <c r="B106" s="96" t="s">
        <v>111</v>
      </c>
      <c r="C106" s="96">
        <v>1999</v>
      </c>
      <c r="D106" s="96">
        <v>219</v>
      </c>
      <c r="E106" s="96">
        <v>13103</v>
      </c>
      <c r="F106" s="96">
        <v>286</v>
      </c>
      <c r="G106" s="96">
        <v>13608</v>
      </c>
      <c r="H106" s="96">
        <v>0.96288947680000003</v>
      </c>
      <c r="I106" s="96">
        <v>2.10170488E-2</v>
      </c>
      <c r="J106" s="96">
        <v>1.6093474399999998E-2</v>
      </c>
    </row>
    <row r="107" spans="1:10">
      <c r="A107" s="96" t="s">
        <v>40</v>
      </c>
      <c r="B107" s="96" t="s">
        <v>111</v>
      </c>
      <c r="C107" s="96">
        <v>1999</v>
      </c>
      <c r="D107" s="96">
        <v>21</v>
      </c>
      <c r="E107" s="96">
        <v>2490</v>
      </c>
      <c r="F107" s="96">
        <v>26</v>
      </c>
      <c r="G107" s="96">
        <v>2537</v>
      </c>
      <c r="H107" s="96">
        <v>0.98147418210000004</v>
      </c>
      <c r="I107" s="96">
        <v>1.02483248E-2</v>
      </c>
      <c r="J107" s="96">
        <v>8.2774931E-3</v>
      </c>
    </row>
    <row r="108" spans="1:10">
      <c r="A108" s="96" t="s">
        <v>45</v>
      </c>
      <c r="B108" s="96" t="s">
        <v>111</v>
      </c>
      <c r="C108" s="96">
        <v>1999</v>
      </c>
      <c r="D108" s="96">
        <v>0</v>
      </c>
      <c r="E108" s="96">
        <v>2351</v>
      </c>
      <c r="F108" s="96">
        <v>44</v>
      </c>
      <c r="G108" s="96">
        <v>2395</v>
      </c>
      <c r="H108" s="96">
        <v>0.9816283925</v>
      </c>
      <c r="I108" s="96">
        <v>1.8371607500000001E-2</v>
      </c>
      <c r="J108" s="96">
        <v>0</v>
      </c>
    </row>
    <row r="109" spans="1:10">
      <c r="A109" s="96" t="s">
        <v>123</v>
      </c>
      <c r="B109" s="96" t="s">
        <v>124</v>
      </c>
      <c r="C109" s="96">
        <v>1999</v>
      </c>
      <c r="D109" s="96">
        <v>63</v>
      </c>
      <c r="E109" s="96">
        <v>1534</v>
      </c>
      <c r="F109" s="96">
        <v>68</v>
      </c>
      <c r="G109" s="96">
        <v>1665</v>
      </c>
      <c r="H109" s="96">
        <v>0.9213213213</v>
      </c>
      <c r="I109" s="96">
        <v>4.08408408E-2</v>
      </c>
      <c r="J109" s="96">
        <v>3.7837837800000003E-2</v>
      </c>
    </row>
    <row r="110" spans="1:10">
      <c r="A110" s="96" t="s">
        <v>14</v>
      </c>
      <c r="B110" s="96" t="s">
        <v>124</v>
      </c>
      <c r="C110" s="96">
        <v>1999</v>
      </c>
      <c r="D110" s="96">
        <v>107</v>
      </c>
      <c r="E110" s="96">
        <v>2569</v>
      </c>
      <c r="F110" s="96">
        <v>203</v>
      </c>
      <c r="G110" s="96">
        <v>2879</v>
      </c>
      <c r="H110" s="96">
        <v>0.8923237235</v>
      </c>
      <c r="I110" s="96">
        <v>7.0510593999999996E-2</v>
      </c>
      <c r="J110" s="96">
        <v>3.7165682499999998E-2</v>
      </c>
    </row>
    <row r="111" spans="1:10">
      <c r="A111" s="96" t="s">
        <v>125</v>
      </c>
      <c r="B111" s="96" t="s">
        <v>124</v>
      </c>
      <c r="C111" s="96">
        <v>1999</v>
      </c>
      <c r="D111" s="96">
        <v>81</v>
      </c>
      <c r="E111" s="96">
        <v>5179</v>
      </c>
      <c r="F111" s="96">
        <v>323</v>
      </c>
      <c r="G111" s="96">
        <v>5583</v>
      </c>
      <c r="H111" s="96">
        <v>0.92763747090000004</v>
      </c>
      <c r="I111" s="96">
        <v>5.7854200299999999E-2</v>
      </c>
      <c r="J111" s="96">
        <v>1.4508328900000001E-2</v>
      </c>
    </row>
    <row r="112" spans="1:10">
      <c r="A112" s="96" t="s">
        <v>126</v>
      </c>
      <c r="B112" s="96" t="s">
        <v>124</v>
      </c>
      <c r="C112" s="96">
        <v>1999</v>
      </c>
      <c r="D112" s="96">
        <v>333</v>
      </c>
      <c r="E112" s="96">
        <v>12844</v>
      </c>
      <c r="F112" s="96">
        <v>802</v>
      </c>
      <c r="G112" s="96">
        <v>13979</v>
      </c>
      <c r="H112" s="96">
        <v>0.91880678159999996</v>
      </c>
      <c r="I112" s="96">
        <v>5.73717719E-2</v>
      </c>
      <c r="J112" s="96">
        <v>2.3821446499999999E-2</v>
      </c>
    </row>
    <row r="113" spans="1:10">
      <c r="A113" s="96" t="s">
        <v>127</v>
      </c>
      <c r="B113" s="96" t="s">
        <v>124</v>
      </c>
      <c r="C113" s="96">
        <v>1999</v>
      </c>
      <c r="D113" s="96">
        <v>136</v>
      </c>
      <c r="E113" s="96">
        <v>3070</v>
      </c>
      <c r="F113" s="96">
        <v>667</v>
      </c>
      <c r="G113" s="96">
        <v>3873</v>
      </c>
      <c r="H113" s="96">
        <v>0.79266718309999995</v>
      </c>
      <c r="I113" s="96">
        <v>0.17221791889999999</v>
      </c>
      <c r="J113" s="96">
        <v>3.5114897999999999E-2</v>
      </c>
    </row>
    <row r="114" spans="1:10">
      <c r="A114" s="96" t="s">
        <v>128</v>
      </c>
      <c r="B114" s="96" t="s">
        <v>124</v>
      </c>
      <c r="C114" s="96">
        <v>1999</v>
      </c>
      <c r="D114" s="96">
        <v>21</v>
      </c>
      <c r="E114" s="96">
        <v>4739</v>
      </c>
      <c r="F114" s="96">
        <v>354</v>
      </c>
      <c r="G114" s="96">
        <v>5114</v>
      </c>
      <c r="H114" s="96">
        <v>0.92667188109999998</v>
      </c>
      <c r="I114" s="96">
        <v>6.9221744200000004E-2</v>
      </c>
      <c r="J114" s="96">
        <v>4.1063747000000001E-3</v>
      </c>
    </row>
    <row r="115" spans="1:10">
      <c r="A115" s="96" t="s">
        <v>129</v>
      </c>
      <c r="B115" s="96" t="s">
        <v>124</v>
      </c>
      <c r="C115" s="96">
        <v>1999</v>
      </c>
      <c r="D115" s="96">
        <v>1038</v>
      </c>
      <c r="E115" s="96">
        <v>3247</v>
      </c>
      <c r="F115" s="96">
        <v>976</v>
      </c>
      <c r="G115" s="96">
        <v>5261</v>
      </c>
      <c r="H115" s="96">
        <v>0.61718304499999999</v>
      </c>
      <c r="I115" s="96">
        <v>0.1855160616</v>
      </c>
      <c r="J115" s="96">
        <v>0.19730089340000001</v>
      </c>
    </row>
    <row r="116" spans="1:10">
      <c r="A116" s="96" t="s">
        <v>130</v>
      </c>
      <c r="B116" s="96" t="s">
        <v>124</v>
      </c>
      <c r="C116" s="96">
        <v>1999</v>
      </c>
      <c r="D116" s="96">
        <v>203</v>
      </c>
      <c r="E116" s="96">
        <v>6225</v>
      </c>
      <c r="F116" s="96">
        <v>732</v>
      </c>
      <c r="G116" s="96">
        <v>7160</v>
      </c>
      <c r="H116" s="96">
        <v>0.86941340779999998</v>
      </c>
      <c r="I116" s="96">
        <v>0.10223463689999999</v>
      </c>
      <c r="J116" s="96">
        <v>2.8351955299999999E-2</v>
      </c>
    </row>
    <row r="117" spans="1:10">
      <c r="A117" s="96" t="s">
        <v>19</v>
      </c>
      <c r="B117" s="96" t="s">
        <v>124</v>
      </c>
      <c r="C117" s="96">
        <v>1999</v>
      </c>
      <c r="D117" s="96">
        <v>190</v>
      </c>
      <c r="E117" s="96">
        <v>4532</v>
      </c>
      <c r="F117" s="96">
        <v>1245</v>
      </c>
      <c r="G117" s="96">
        <v>5967</v>
      </c>
      <c r="H117" s="96">
        <v>0.75951064189999995</v>
      </c>
      <c r="I117" s="96">
        <v>0.2086475616</v>
      </c>
      <c r="J117" s="96">
        <v>3.1841796499999998E-2</v>
      </c>
    </row>
    <row r="118" spans="1:10">
      <c r="A118" s="96" t="s">
        <v>131</v>
      </c>
      <c r="B118" s="96" t="s">
        <v>124</v>
      </c>
      <c r="C118" s="96">
        <v>1999</v>
      </c>
      <c r="D118" s="96">
        <v>373</v>
      </c>
      <c r="E118" s="96">
        <v>7957</v>
      </c>
      <c r="F118" s="96">
        <v>403</v>
      </c>
      <c r="G118" s="96">
        <v>8733</v>
      </c>
      <c r="H118" s="96">
        <v>0.91114164659999997</v>
      </c>
      <c r="I118" s="96">
        <v>4.6146799500000002E-2</v>
      </c>
      <c r="J118" s="96">
        <v>4.2711553899999997E-2</v>
      </c>
    </row>
    <row r="119" spans="1:10">
      <c r="A119" s="96" t="s">
        <v>20</v>
      </c>
      <c r="B119" s="96" t="s">
        <v>124</v>
      </c>
      <c r="C119" s="96">
        <v>1999</v>
      </c>
      <c r="D119" s="96">
        <v>277</v>
      </c>
      <c r="E119" s="96">
        <v>15513</v>
      </c>
      <c r="F119" s="96">
        <v>1999</v>
      </c>
      <c r="G119" s="96">
        <v>17789</v>
      </c>
      <c r="H119" s="96">
        <v>0.87205576480000002</v>
      </c>
      <c r="I119" s="96">
        <v>0.1123728147</v>
      </c>
      <c r="J119" s="96">
        <v>1.55714205E-2</v>
      </c>
    </row>
    <row r="120" spans="1:10">
      <c r="A120" s="96" t="s">
        <v>21</v>
      </c>
      <c r="B120" s="96" t="s">
        <v>124</v>
      </c>
      <c r="C120" s="96">
        <v>1999</v>
      </c>
      <c r="D120" s="96">
        <v>176</v>
      </c>
      <c r="E120" s="96">
        <v>4635</v>
      </c>
      <c r="F120" s="96">
        <v>957</v>
      </c>
      <c r="G120" s="96">
        <v>5768</v>
      </c>
      <c r="H120" s="96">
        <v>0.80357142859999997</v>
      </c>
      <c r="I120" s="96">
        <v>0.16591539529999999</v>
      </c>
      <c r="J120" s="96">
        <v>3.0513176100000001E-2</v>
      </c>
    </row>
    <row r="121" spans="1:10">
      <c r="A121" s="96" t="s">
        <v>22</v>
      </c>
      <c r="B121" s="96" t="s">
        <v>124</v>
      </c>
      <c r="C121" s="96">
        <v>1999</v>
      </c>
      <c r="D121" s="96">
        <v>389</v>
      </c>
      <c r="E121" s="96">
        <v>8984</v>
      </c>
      <c r="F121" s="96">
        <v>318</v>
      </c>
      <c r="G121" s="96">
        <v>9691</v>
      </c>
      <c r="H121" s="96">
        <v>0.92704571250000001</v>
      </c>
      <c r="I121" s="96">
        <v>3.2813951100000002E-2</v>
      </c>
      <c r="J121" s="96">
        <v>4.0140336399999997E-2</v>
      </c>
    </row>
    <row r="122" spans="1:10">
      <c r="A122" s="96" t="s">
        <v>25</v>
      </c>
      <c r="B122" s="96" t="s">
        <v>111</v>
      </c>
      <c r="C122" s="96">
        <v>2000</v>
      </c>
      <c r="D122" s="96">
        <v>24</v>
      </c>
      <c r="E122" s="96">
        <v>1548</v>
      </c>
      <c r="F122" s="96">
        <v>18</v>
      </c>
      <c r="G122" s="96">
        <v>1590</v>
      </c>
      <c r="H122" s="96">
        <v>0.9735849057</v>
      </c>
      <c r="I122" s="96">
        <v>1.13207547E-2</v>
      </c>
      <c r="J122" s="96">
        <v>1.5094339599999999E-2</v>
      </c>
    </row>
    <row r="123" spans="1:10">
      <c r="A123" s="96" t="s">
        <v>26</v>
      </c>
      <c r="B123" s="96" t="s">
        <v>111</v>
      </c>
      <c r="C123" s="96">
        <v>2000</v>
      </c>
      <c r="D123" s="96">
        <v>17</v>
      </c>
      <c r="E123" s="96">
        <v>2710</v>
      </c>
      <c r="F123" s="96">
        <v>1</v>
      </c>
      <c r="G123" s="96">
        <v>2728</v>
      </c>
      <c r="H123" s="96">
        <v>0.99340175949999998</v>
      </c>
      <c r="I123" s="96">
        <v>3.6656889999999999E-4</v>
      </c>
      <c r="J123" s="96">
        <v>6.2316715999999996E-3</v>
      </c>
    </row>
    <row r="124" spans="1:10">
      <c r="A124" s="96" t="s">
        <v>27</v>
      </c>
      <c r="B124" s="96" t="s">
        <v>111</v>
      </c>
      <c r="C124" s="96">
        <v>2000</v>
      </c>
      <c r="D124" s="96">
        <v>453</v>
      </c>
      <c r="E124" s="96">
        <v>2946</v>
      </c>
      <c r="F124" s="96">
        <v>16</v>
      </c>
      <c r="G124" s="96">
        <v>3415</v>
      </c>
      <c r="H124" s="96">
        <v>0.86266471450000004</v>
      </c>
      <c r="I124" s="96">
        <v>4.6852122999999999E-3</v>
      </c>
      <c r="J124" s="96">
        <v>0.1326500732</v>
      </c>
    </row>
    <row r="125" spans="1:10">
      <c r="A125" s="96" t="s">
        <v>28</v>
      </c>
      <c r="B125" s="96" t="s">
        <v>111</v>
      </c>
      <c r="C125" s="96">
        <v>2000</v>
      </c>
      <c r="D125" s="96">
        <v>11</v>
      </c>
      <c r="E125" s="96">
        <v>738</v>
      </c>
      <c r="F125" s="96">
        <v>4</v>
      </c>
      <c r="G125" s="96">
        <v>753</v>
      </c>
      <c r="H125" s="96">
        <v>0.98007968130000001</v>
      </c>
      <c r="I125" s="96">
        <v>5.3120850000000002E-3</v>
      </c>
      <c r="J125" s="96">
        <v>1.4608233700000001E-2</v>
      </c>
    </row>
    <row r="126" spans="1:10">
      <c r="A126" s="96" t="s">
        <v>112</v>
      </c>
      <c r="B126" s="96" t="s">
        <v>111</v>
      </c>
      <c r="C126" s="96">
        <v>2000</v>
      </c>
      <c r="D126" s="96">
        <v>11</v>
      </c>
      <c r="E126" s="96">
        <v>7818</v>
      </c>
      <c r="F126" s="96">
        <v>68</v>
      </c>
      <c r="G126" s="96">
        <v>7897</v>
      </c>
      <c r="H126" s="96">
        <v>0.98999620109999997</v>
      </c>
      <c r="I126" s="96">
        <v>8.6108648999999992E-3</v>
      </c>
      <c r="J126" s="96">
        <v>1.392934E-3</v>
      </c>
    </row>
    <row r="127" spans="1:10">
      <c r="A127" s="96" t="s">
        <v>113</v>
      </c>
      <c r="B127" s="96" t="s">
        <v>111</v>
      </c>
      <c r="C127" s="96">
        <v>2000</v>
      </c>
      <c r="D127" s="96">
        <v>15</v>
      </c>
      <c r="E127" s="96">
        <v>4442</v>
      </c>
      <c r="F127" s="96">
        <v>64</v>
      </c>
      <c r="G127" s="96">
        <v>4521</v>
      </c>
      <c r="H127" s="96">
        <v>0.98252598980000005</v>
      </c>
      <c r="I127" s="96">
        <v>1.4156160100000001E-2</v>
      </c>
      <c r="J127" s="96">
        <v>3.3178499999999998E-3</v>
      </c>
    </row>
    <row r="128" spans="1:10">
      <c r="A128" s="96" t="s">
        <v>114</v>
      </c>
      <c r="B128" s="96" t="s">
        <v>111</v>
      </c>
      <c r="C128" s="96">
        <v>2000</v>
      </c>
      <c r="D128" s="96">
        <v>230</v>
      </c>
      <c r="E128" s="96">
        <v>4036</v>
      </c>
      <c r="F128" s="96">
        <v>108</v>
      </c>
      <c r="G128" s="96">
        <v>4374</v>
      </c>
      <c r="H128" s="96">
        <v>0.9227251943</v>
      </c>
      <c r="I128" s="96">
        <v>2.4691358E-2</v>
      </c>
      <c r="J128" s="96">
        <v>5.25834476E-2</v>
      </c>
    </row>
    <row r="129" spans="1:10">
      <c r="A129" s="96" t="s">
        <v>115</v>
      </c>
      <c r="B129" s="96" t="s">
        <v>111</v>
      </c>
      <c r="C129" s="96">
        <v>2000</v>
      </c>
      <c r="D129" s="96">
        <v>6</v>
      </c>
      <c r="E129" s="96">
        <v>2494</v>
      </c>
      <c r="F129" s="96">
        <v>8</v>
      </c>
      <c r="G129" s="96">
        <v>2508</v>
      </c>
      <c r="H129" s="96">
        <v>0.9944178628</v>
      </c>
      <c r="I129" s="96">
        <v>3.1897927000000001E-3</v>
      </c>
      <c r="J129" s="96">
        <v>2.3923445E-3</v>
      </c>
    </row>
    <row r="130" spans="1:10">
      <c r="A130" s="96" t="s">
        <v>37</v>
      </c>
      <c r="B130" s="96" t="s">
        <v>111</v>
      </c>
      <c r="C130" s="96">
        <v>2000</v>
      </c>
      <c r="D130" s="96">
        <v>49</v>
      </c>
      <c r="E130" s="96">
        <v>2416</v>
      </c>
      <c r="F130" s="96">
        <v>0</v>
      </c>
      <c r="G130" s="96">
        <v>2465</v>
      </c>
      <c r="H130" s="96">
        <v>0.98012170389999997</v>
      </c>
      <c r="I130" s="96">
        <v>0</v>
      </c>
      <c r="J130" s="96">
        <v>1.9878296100000001E-2</v>
      </c>
    </row>
    <row r="131" spans="1:10">
      <c r="A131" s="96" t="s">
        <v>116</v>
      </c>
      <c r="B131" s="96" t="s">
        <v>111</v>
      </c>
      <c r="C131" s="96">
        <v>2000</v>
      </c>
      <c r="D131" s="96">
        <v>7</v>
      </c>
      <c r="E131" s="96">
        <v>1155</v>
      </c>
      <c r="F131" s="96">
        <v>37</v>
      </c>
      <c r="G131" s="96">
        <v>1199</v>
      </c>
      <c r="H131" s="96">
        <v>0.96330275229999995</v>
      </c>
      <c r="I131" s="96">
        <v>3.0859049199999999E-2</v>
      </c>
      <c r="J131" s="96">
        <v>5.8381984999999999E-3</v>
      </c>
    </row>
    <row r="132" spans="1:10">
      <c r="A132" s="96" t="s">
        <v>117</v>
      </c>
      <c r="B132" s="96" t="s">
        <v>111</v>
      </c>
      <c r="C132" s="96">
        <v>2000</v>
      </c>
      <c r="D132" s="96">
        <v>5</v>
      </c>
      <c r="E132" s="96">
        <v>949</v>
      </c>
      <c r="F132" s="96">
        <v>7</v>
      </c>
      <c r="G132" s="96">
        <v>961</v>
      </c>
      <c r="H132" s="96">
        <v>0.98751300730000002</v>
      </c>
      <c r="I132" s="96">
        <v>7.2840791000000002E-3</v>
      </c>
      <c r="J132" s="96">
        <v>5.2029136000000002E-3</v>
      </c>
    </row>
    <row r="133" spans="1:10">
      <c r="A133" s="96" t="s">
        <v>118</v>
      </c>
      <c r="B133" s="96" t="s">
        <v>111</v>
      </c>
      <c r="C133" s="96">
        <v>2000</v>
      </c>
      <c r="D133" s="96">
        <v>13</v>
      </c>
      <c r="E133" s="96">
        <v>5368</v>
      </c>
      <c r="F133" s="96">
        <v>44</v>
      </c>
      <c r="G133" s="96">
        <v>5425</v>
      </c>
      <c r="H133" s="96">
        <v>0.98949308759999999</v>
      </c>
      <c r="I133" s="96">
        <v>8.1105990999999992E-3</v>
      </c>
      <c r="J133" s="96">
        <v>2.3963133999999999E-3</v>
      </c>
    </row>
    <row r="134" spans="1:10">
      <c r="A134" s="96" t="s">
        <v>119</v>
      </c>
      <c r="B134" s="96" t="s">
        <v>111</v>
      </c>
      <c r="C134" s="96">
        <v>2000</v>
      </c>
      <c r="D134" s="96">
        <v>6</v>
      </c>
      <c r="E134" s="96">
        <v>5379</v>
      </c>
      <c r="F134" s="96">
        <v>0</v>
      </c>
      <c r="G134" s="96">
        <v>5385</v>
      </c>
      <c r="H134" s="96">
        <v>0.99888579389999999</v>
      </c>
      <c r="I134" s="96">
        <v>0</v>
      </c>
      <c r="J134" s="96">
        <v>1.1142061E-3</v>
      </c>
    </row>
    <row r="135" spans="1:10">
      <c r="A135" s="96" t="s">
        <v>120</v>
      </c>
      <c r="B135" s="96" t="s">
        <v>111</v>
      </c>
      <c r="C135" s="96">
        <v>2000</v>
      </c>
      <c r="D135" s="96">
        <v>38</v>
      </c>
      <c r="E135" s="96">
        <v>5652</v>
      </c>
      <c r="F135" s="96">
        <v>197</v>
      </c>
      <c r="G135" s="96">
        <v>5887</v>
      </c>
      <c r="H135" s="96">
        <v>0.96008153559999998</v>
      </c>
      <c r="I135" s="96">
        <v>3.3463563799999999E-2</v>
      </c>
      <c r="J135" s="96">
        <v>6.4549005999999997E-3</v>
      </c>
    </row>
    <row r="136" spans="1:10">
      <c r="A136" s="96" t="s">
        <v>121</v>
      </c>
      <c r="B136" s="96" t="s">
        <v>111</v>
      </c>
      <c r="C136" s="96">
        <v>2000</v>
      </c>
      <c r="D136" s="96">
        <v>133</v>
      </c>
      <c r="E136" s="96">
        <v>5784</v>
      </c>
      <c r="F136" s="96">
        <v>314</v>
      </c>
      <c r="G136" s="96">
        <v>6231</v>
      </c>
      <c r="H136" s="96">
        <v>0.92826191619999998</v>
      </c>
      <c r="I136" s="96">
        <v>5.0393195299999999E-2</v>
      </c>
      <c r="J136" s="96">
        <v>2.1344888499999999E-2</v>
      </c>
    </row>
    <row r="137" spans="1:10">
      <c r="A137" s="96" t="s">
        <v>122</v>
      </c>
      <c r="B137" s="96" t="s">
        <v>111</v>
      </c>
      <c r="C137" s="96">
        <v>2000</v>
      </c>
      <c r="D137" s="96">
        <v>285</v>
      </c>
      <c r="E137" s="96">
        <v>10369</v>
      </c>
      <c r="F137" s="96">
        <v>321</v>
      </c>
      <c r="G137" s="96">
        <v>10975</v>
      </c>
      <c r="H137" s="96">
        <v>0.94478359909999998</v>
      </c>
      <c r="I137" s="96">
        <v>2.92482916E-2</v>
      </c>
      <c r="J137" s="96">
        <v>2.59681093E-2</v>
      </c>
    </row>
    <row r="138" spans="1:10">
      <c r="A138" s="96" t="s">
        <v>40</v>
      </c>
      <c r="B138" s="96" t="s">
        <v>111</v>
      </c>
      <c r="C138" s="96">
        <v>2000</v>
      </c>
      <c r="D138" s="96">
        <v>2808</v>
      </c>
      <c r="E138" s="96"/>
      <c r="F138" s="96"/>
      <c r="G138" s="96">
        <v>2808</v>
      </c>
      <c r="H138" s="96"/>
      <c r="I138" s="96"/>
      <c r="J138" s="96">
        <v>1</v>
      </c>
    </row>
    <row r="139" spans="1:10">
      <c r="A139" s="96" t="s">
        <v>45</v>
      </c>
      <c r="B139" s="96" t="s">
        <v>111</v>
      </c>
      <c r="C139" s="96">
        <v>2000</v>
      </c>
      <c r="D139" s="96">
        <v>2</v>
      </c>
      <c r="E139" s="96">
        <v>2376</v>
      </c>
      <c r="F139" s="96">
        <v>46</v>
      </c>
      <c r="G139" s="96">
        <v>2424</v>
      </c>
      <c r="H139" s="96">
        <v>0.98019801979999999</v>
      </c>
      <c r="I139" s="96">
        <v>1.8976897699999998E-2</v>
      </c>
      <c r="J139" s="96">
        <v>8.2508250000000005E-4</v>
      </c>
    </row>
    <row r="140" spans="1:10">
      <c r="A140" s="96" t="s">
        <v>123</v>
      </c>
      <c r="B140" s="96" t="s">
        <v>124</v>
      </c>
      <c r="C140" s="96">
        <v>2000</v>
      </c>
      <c r="D140" s="96">
        <v>153</v>
      </c>
      <c r="E140" s="96">
        <v>1678</v>
      </c>
      <c r="F140" s="96">
        <v>0</v>
      </c>
      <c r="G140" s="96">
        <v>1831</v>
      </c>
      <c r="H140" s="96">
        <v>0.91643910429999997</v>
      </c>
      <c r="I140" s="96">
        <v>0</v>
      </c>
      <c r="J140" s="96">
        <v>8.3560895699999999E-2</v>
      </c>
    </row>
    <row r="141" spans="1:10">
      <c r="A141" s="96" t="s">
        <v>14</v>
      </c>
      <c r="B141" s="96" t="s">
        <v>124</v>
      </c>
      <c r="C141" s="96">
        <v>2000</v>
      </c>
      <c r="D141" s="96">
        <v>154</v>
      </c>
      <c r="E141" s="96">
        <v>2542</v>
      </c>
      <c r="F141" s="96">
        <v>179</v>
      </c>
      <c r="G141" s="96">
        <v>2875</v>
      </c>
      <c r="H141" s="96">
        <v>0.88417391300000003</v>
      </c>
      <c r="I141" s="96">
        <v>6.2260869599999998E-2</v>
      </c>
      <c r="J141" s="96">
        <v>5.3565217399999997E-2</v>
      </c>
    </row>
    <row r="142" spans="1:10">
      <c r="A142" s="96" t="s">
        <v>125</v>
      </c>
      <c r="B142" s="96" t="s">
        <v>124</v>
      </c>
      <c r="C142" s="96">
        <v>2000</v>
      </c>
      <c r="D142" s="96">
        <v>89</v>
      </c>
      <c r="E142" s="96">
        <v>5228</v>
      </c>
      <c r="F142" s="96">
        <v>321</v>
      </c>
      <c r="G142" s="96">
        <v>5638</v>
      </c>
      <c r="H142" s="96">
        <v>0.92727917699999995</v>
      </c>
      <c r="I142" s="96">
        <v>5.6935083400000003E-2</v>
      </c>
      <c r="J142" s="96">
        <v>1.5785739600000001E-2</v>
      </c>
    </row>
    <row r="143" spans="1:10">
      <c r="A143" s="96" t="s">
        <v>126</v>
      </c>
      <c r="B143" s="96" t="s">
        <v>124</v>
      </c>
      <c r="C143" s="96">
        <v>2000</v>
      </c>
      <c r="D143" s="96">
        <v>323</v>
      </c>
      <c r="E143" s="96">
        <v>12916</v>
      </c>
      <c r="F143" s="96">
        <v>842</v>
      </c>
      <c r="G143" s="96">
        <v>14081</v>
      </c>
      <c r="H143" s="96">
        <v>0.91726439879999999</v>
      </c>
      <c r="I143" s="96">
        <v>5.9796889399999997E-2</v>
      </c>
      <c r="J143" s="96">
        <v>2.2938711699999999E-2</v>
      </c>
    </row>
    <row r="144" spans="1:10">
      <c r="A144" s="96" t="s">
        <v>127</v>
      </c>
      <c r="B144" s="96" t="s">
        <v>124</v>
      </c>
      <c r="C144" s="96">
        <v>2000</v>
      </c>
      <c r="D144" s="96">
        <v>118</v>
      </c>
      <c r="E144" s="96">
        <v>2984</v>
      </c>
      <c r="F144" s="96">
        <v>586</v>
      </c>
      <c r="G144" s="96">
        <v>3688</v>
      </c>
      <c r="H144" s="96">
        <v>0.80911062909999998</v>
      </c>
      <c r="I144" s="96">
        <v>0.15889370929999999</v>
      </c>
      <c r="J144" s="96">
        <v>3.1995661600000003E-2</v>
      </c>
    </row>
    <row r="145" spans="1:10">
      <c r="A145" s="96" t="s">
        <v>128</v>
      </c>
      <c r="B145" s="96" t="s">
        <v>124</v>
      </c>
      <c r="C145" s="96">
        <v>2000</v>
      </c>
      <c r="D145" s="96">
        <v>24</v>
      </c>
      <c r="E145" s="96">
        <v>4656</v>
      </c>
      <c r="F145" s="96">
        <v>351</v>
      </c>
      <c r="G145" s="96">
        <v>5031</v>
      </c>
      <c r="H145" s="96">
        <v>0.92546213479999995</v>
      </c>
      <c r="I145" s="96">
        <v>6.9767441900000005E-2</v>
      </c>
      <c r="J145" s="96">
        <v>4.7704234000000003E-3</v>
      </c>
    </row>
    <row r="146" spans="1:10">
      <c r="A146" s="96" t="s">
        <v>129</v>
      </c>
      <c r="B146" s="96" t="s">
        <v>124</v>
      </c>
      <c r="C146" s="96">
        <v>2000</v>
      </c>
      <c r="D146" s="96">
        <v>653</v>
      </c>
      <c r="E146" s="96">
        <v>3690</v>
      </c>
      <c r="F146" s="96">
        <v>1101</v>
      </c>
      <c r="G146" s="96">
        <v>5444</v>
      </c>
      <c r="H146" s="96">
        <v>0.67781043350000003</v>
      </c>
      <c r="I146" s="96">
        <v>0.2022409993</v>
      </c>
      <c r="J146" s="96">
        <v>0.11994856719999999</v>
      </c>
    </row>
    <row r="147" spans="1:10">
      <c r="A147" s="96" t="s">
        <v>130</v>
      </c>
      <c r="B147" s="96" t="s">
        <v>124</v>
      </c>
      <c r="C147" s="96">
        <v>2000</v>
      </c>
      <c r="D147" s="96">
        <v>249</v>
      </c>
      <c r="E147" s="96">
        <v>6316</v>
      </c>
      <c r="F147" s="96">
        <v>769</v>
      </c>
      <c r="G147" s="96">
        <v>7334</v>
      </c>
      <c r="H147" s="96">
        <v>0.86119443689999997</v>
      </c>
      <c r="I147" s="96">
        <v>0.10485410420000001</v>
      </c>
      <c r="J147" s="96">
        <v>3.3951459000000003E-2</v>
      </c>
    </row>
    <row r="148" spans="1:10">
      <c r="A148" s="96" t="s">
        <v>19</v>
      </c>
      <c r="B148" s="96" t="s">
        <v>124</v>
      </c>
      <c r="C148" s="96">
        <v>2000</v>
      </c>
      <c r="D148" s="96">
        <v>186</v>
      </c>
      <c r="E148" s="96">
        <v>4426</v>
      </c>
      <c r="F148" s="96">
        <v>1219</v>
      </c>
      <c r="G148" s="96">
        <v>5831</v>
      </c>
      <c r="H148" s="96">
        <v>0.75904647569999995</v>
      </c>
      <c r="I148" s="96">
        <v>0.20905505059999999</v>
      </c>
      <c r="J148" s="96">
        <v>3.1898473699999999E-2</v>
      </c>
    </row>
    <row r="149" spans="1:10">
      <c r="A149" s="96" t="s">
        <v>131</v>
      </c>
      <c r="B149" s="96" t="s">
        <v>124</v>
      </c>
      <c r="C149" s="96">
        <v>2000</v>
      </c>
      <c r="D149" s="96">
        <v>318</v>
      </c>
      <c r="E149" s="96">
        <v>7978</v>
      </c>
      <c r="F149" s="96">
        <v>412</v>
      </c>
      <c r="G149" s="96">
        <v>8708</v>
      </c>
      <c r="H149" s="96">
        <v>0.91616903999999999</v>
      </c>
      <c r="I149" s="96">
        <v>4.7312815799999998E-2</v>
      </c>
      <c r="J149" s="96">
        <v>3.6518144199999998E-2</v>
      </c>
    </row>
    <row r="150" spans="1:10">
      <c r="A150" s="96" t="s">
        <v>20</v>
      </c>
      <c r="B150" s="96" t="s">
        <v>124</v>
      </c>
      <c r="C150" s="96">
        <v>2000</v>
      </c>
      <c r="D150" s="96">
        <v>258</v>
      </c>
      <c r="E150" s="96">
        <v>15772</v>
      </c>
      <c r="F150" s="96">
        <v>2002</v>
      </c>
      <c r="G150" s="96">
        <v>18032</v>
      </c>
      <c r="H150" s="96">
        <v>0.87466725820000002</v>
      </c>
      <c r="I150" s="96">
        <v>0.1110248447</v>
      </c>
      <c r="J150" s="96">
        <v>1.43078971E-2</v>
      </c>
    </row>
    <row r="151" spans="1:10">
      <c r="A151" s="96" t="s">
        <v>21</v>
      </c>
      <c r="B151" s="96" t="s">
        <v>124</v>
      </c>
      <c r="C151" s="96">
        <v>2000</v>
      </c>
      <c r="D151" s="96">
        <v>169</v>
      </c>
      <c r="E151" s="96">
        <v>4582</v>
      </c>
      <c r="F151" s="96">
        <v>999</v>
      </c>
      <c r="G151" s="96">
        <v>5750</v>
      </c>
      <c r="H151" s="96">
        <v>0.79686956519999996</v>
      </c>
      <c r="I151" s="96">
        <v>0.1737391304</v>
      </c>
      <c r="J151" s="96">
        <v>2.9391304300000001E-2</v>
      </c>
    </row>
    <row r="152" spans="1:10">
      <c r="A152" s="96" t="s">
        <v>22</v>
      </c>
      <c r="B152" s="96" t="s">
        <v>124</v>
      </c>
      <c r="C152" s="96">
        <v>2000</v>
      </c>
      <c r="D152" s="96">
        <v>459</v>
      </c>
      <c r="E152" s="96">
        <v>8927</v>
      </c>
      <c r="F152" s="96">
        <v>336</v>
      </c>
      <c r="G152" s="96">
        <v>9722</v>
      </c>
      <c r="H152" s="96">
        <v>0.91822670230000003</v>
      </c>
      <c r="I152" s="96">
        <v>3.4560790000000001E-2</v>
      </c>
      <c r="J152" s="96">
        <v>4.7212507700000003E-2</v>
      </c>
    </row>
    <row r="153" spans="1:10">
      <c r="A153" s="96" t="s">
        <v>25</v>
      </c>
      <c r="B153" s="96" t="s">
        <v>111</v>
      </c>
      <c r="C153" s="96">
        <v>2001</v>
      </c>
      <c r="D153" s="96">
        <v>23</v>
      </c>
      <c r="E153" s="96">
        <v>1868</v>
      </c>
      <c r="F153" s="96">
        <v>18</v>
      </c>
      <c r="G153" s="96">
        <v>1909</v>
      </c>
      <c r="H153" s="96">
        <v>0.97852278680000004</v>
      </c>
      <c r="I153" s="96">
        <v>9.4290203999999999E-3</v>
      </c>
      <c r="J153" s="96">
        <v>1.20481928E-2</v>
      </c>
    </row>
    <row r="154" spans="1:10">
      <c r="A154" s="96" t="s">
        <v>26</v>
      </c>
      <c r="B154" s="96" t="s">
        <v>111</v>
      </c>
      <c r="C154" s="96">
        <v>2001</v>
      </c>
      <c r="D154" s="96">
        <v>1</v>
      </c>
      <c r="E154" s="96">
        <v>3248</v>
      </c>
      <c r="F154" s="96">
        <v>2</v>
      </c>
      <c r="G154" s="96">
        <v>3251</v>
      </c>
      <c r="H154" s="96">
        <v>0.99907720700000002</v>
      </c>
      <c r="I154" s="96">
        <v>6.1519530000000002E-4</v>
      </c>
      <c r="J154" s="96">
        <v>3.0759770000000002E-4</v>
      </c>
    </row>
    <row r="155" spans="1:10">
      <c r="A155" s="96" t="s">
        <v>27</v>
      </c>
      <c r="B155" s="96" t="s">
        <v>111</v>
      </c>
      <c r="C155" s="96">
        <v>2001</v>
      </c>
      <c r="D155" s="96">
        <v>203</v>
      </c>
      <c r="E155" s="96">
        <v>3234</v>
      </c>
      <c r="F155" s="96">
        <v>14</v>
      </c>
      <c r="G155" s="96">
        <v>3451</v>
      </c>
      <c r="H155" s="96">
        <v>0.93711967549999997</v>
      </c>
      <c r="I155" s="96">
        <v>4.0567950999999998E-3</v>
      </c>
      <c r="J155" s="96">
        <v>5.8823529399999998E-2</v>
      </c>
    </row>
    <row r="156" spans="1:10">
      <c r="A156" s="96" t="s">
        <v>28</v>
      </c>
      <c r="B156" s="96" t="s">
        <v>111</v>
      </c>
      <c r="C156" s="96">
        <v>2001</v>
      </c>
      <c r="D156" s="96">
        <v>29</v>
      </c>
      <c r="E156" s="96">
        <v>777</v>
      </c>
      <c r="F156" s="96">
        <v>7</v>
      </c>
      <c r="G156" s="96">
        <v>813</v>
      </c>
      <c r="H156" s="96">
        <v>0.95571955720000001</v>
      </c>
      <c r="I156" s="96">
        <v>8.6100861000000008E-3</v>
      </c>
      <c r="J156" s="96">
        <v>3.5670356700000003E-2</v>
      </c>
    </row>
    <row r="157" spans="1:10">
      <c r="A157" s="96" t="s">
        <v>112</v>
      </c>
      <c r="B157" s="96" t="s">
        <v>111</v>
      </c>
      <c r="C157" s="96">
        <v>2001</v>
      </c>
      <c r="D157" s="96">
        <v>3</v>
      </c>
      <c r="E157" s="96">
        <v>7621</v>
      </c>
      <c r="F157" s="96">
        <v>56</v>
      </c>
      <c r="G157" s="96">
        <v>7680</v>
      </c>
      <c r="H157" s="96">
        <v>0.99231770829999999</v>
      </c>
      <c r="I157" s="96">
        <v>7.2916667000000003E-3</v>
      </c>
      <c r="J157" s="96">
        <v>3.9062500000000002E-4</v>
      </c>
    </row>
    <row r="158" spans="1:10">
      <c r="A158" s="96" t="s">
        <v>113</v>
      </c>
      <c r="B158" s="96" t="s">
        <v>111</v>
      </c>
      <c r="C158" s="96">
        <v>2001</v>
      </c>
      <c r="D158" s="96">
        <v>1</v>
      </c>
      <c r="E158" s="96">
        <v>4326</v>
      </c>
      <c r="F158" s="96">
        <v>58</v>
      </c>
      <c r="G158" s="96">
        <v>4385</v>
      </c>
      <c r="H158" s="96">
        <v>0.98654503989999998</v>
      </c>
      <c r="I158" s="96">
        <v>1.32269099E-2</v>
      </c>
      <c r="J158" s="96">
        <v>2.280502E-4</v>
      </c>
    </row>
    <row r="159" spans="1:10">
      <c r="A159" s="96" t="s">
        <v>114</v>
      </c>
      <c r="B159" s="96" t="s">
        <v>111</v>
      </c>
      <c r="C159" s="96">
        <v>2001</v>
      </c>
      <c r="D159" s="96">
        <v>9</v>
      </c>
      <c r="E159" s="96">
        <v>4121</v>
      </c>
      <c r="F159" s="96">
        <v>182</v>
      </c>
      <c r="G159" s="96">
        <v>4312</v>
      </c>
      <c r="H159" s="96">
        <v>0.95570500930000002</v>
      </c>
      <c r="I159" s="96">
        <v>4.2207792199999997E-2</v>
      </c>
      <c r="J159" s="96">
        <v>2.0871984999999999E-3</v>
      </c>
    </row>
    <row r="160" spans="1:10">
      <c r="A160" s="96" t="s">
        <v>115</v>
      </c>
      <c r="B160" s="96" t="s">
        <v>111</v>
      </c>
      <c r="C160" s="96">
        <v>2001</v>
      </c>
      <c r="D160" s="96">
        <v>4</v>
      </c>
      <c r="E160" s="96">
        <v>2556</v>
      </c>
      <c r="F160" s="96">
        <v>9</v>
      </c>
      <c r="G160" s="96">
        <v>2569</v>
      </c>
      <c r="H160" s="96">
        <v>0.99493966519999999</v>
      </c>
      <c r="I160" s="96">
        <v>3.5033086999999999E-3</v>
      </c>
      <c r="J160" s="96">
        <v>1.5570261E-3</v>
      </c>
    </row>
    <row r="161" spans="1:10">
      <c r="A161" s="96" t="s">
        <v>37</v>
      </c>
      <c r="B161" s="96" t="s">
        <v>111</v>
      </c>
      <c r="C161" s="96">
        <v>2001</v>
      </c>
      <c r="D161" s="96">
        <v>59</v>
      </c>
      <c r="E161" s="96">
        <v>2721</v>
      </c>
      <c r="F161" s="96">
        <v>0</v>
      </c>
      <c r="G161" s="96">
        <v>2780</v>
      </c>
      <c r="H161" s="96">
        <v>0.9787769784</v>
      </c>
      <c r="I161" s="96">
        <v>0</v>
      </c>
      <c r="J161" s="96">
        <v>2.1223021599999999E-2</v>
      </c>
    </row>
    <row r="162" spans="1:10">
      <c r="A162" s="96" t="s">
        <v>116</v>
      </c>
      <c r="B162" s="96" t="s">
        <v>111</v>
      </c>
      <c r="C162" s="96">
        <v>2001</v>
      </c>
      <c r="D162" s="96">
        <v>58</v>
      </c>
      <c r="E162" s="96">
        <v>1302</v>
      </c>
      <c r="F162" s="96">
        <v>0</v>
      </c>
      <c r="G162" s="96">
        <v>1360</v>
      </c>
      <c r="H162" s="96">
        <v>0.95735294120000003</v>
      </c>
      <c r="I162" s="96">
        <v>0</v>
      </c>
      <c r="J162" s="96">
        <v>4.2647058799999998E-2</v>
      </c>
    </row>
    <row r="163" spans="1:10">
      <c r="A163" s="96" t="s">
        <v>117</v>
      </c>
      <c r="B163" s="96" t="s">
        <v>111</v>
      </c>
      <c r="C163" s="96">
        <v>2001</v>
      </c>
      <c r="D163" s="96">
        <v>7</v>
      </c>
      <c r="E163" s="96">
        <v>973</v>
      </c>
      <c r="F163" s="96">
        <v>12</v>
      </c>
      <c r="G163" s="96">
        <v>992</v>
      </c>
      <c r="H163" s="96">
        <v>0.98084677419999999</v>
      </c>
      <c r="I163" s="96">
        <v>1.20967742E-2</v>
      </c>
      <c r="J163" s="96">
        <v>7.0564516000000002E-3</v>
      </c>
    </row>
    <row r="164" spans="1:10">
      <c r="A164" s="96" t="s">
        <v>118</v>
      </c>
      <c r="B164" s="96" t="s">
        <v>111</v>
      </c>
      <c r="C164" s="96">
        <v>2001</v>
      </c>
      <c r="D164" s="96">
        <v>27</v>
      </c>
      <c r="E164" s="96">
        <v>6387</v>
      </c>
      <c r="F164" s="96">
        <v>64</v>
      </c>
      <c r="G164" s="96">
        <v>6478</v>
      </c>
      <c r="H164" s="96">
        <v>0.98595245450000002</v>
      </c>
      <c r="I164" s="96">
        <v>9.8795924999999993E-3</v>
      </c>
      <c r="J164" s="96">
        <v>4.1679530999999999E-3</v>
      </c>
    </row>
    <row r="165" spans="1:10">
      <c r="A165" s="96" t="s">
        <v>119</v>
      </c>
      <c r="B165" s="96" t="s">
        <v>111</v>
      </c>
      <c r="C165" s="96">
        <v>2001</v>
      </c>
      <c r="D165" s="96">
        <v>7</v>
      </c>
      <c r="E165" s="96">
        <v>5975</v>
      </c>
      <c r="F165" s="96">
        <v>0</v>
      </c>
      <c r="G165" s="96">
        <v>5982</v>
      </c>
      <c r="H165" s="96">
        <v>0.99882982279999999</v>
      </c>
      <c r="I165" s="96">
        <v>0</v>
      </c>
      <c r="J165" s="96">
        <v>1.1701772E-3</v>
      </c>
    </row>
    <row r="166" spans="1:10">
      <c r="A166" s="96" t="s">
        <v>120</v>
      </c>
      <c r="B166" s="96" t="s">
        <v>111</v>
      </c>
      <c r="C166" s="96">
        <v>2001</v>
      </c>
      <c r="D166" s="96">
        <v>56</v>
      </c>
      <c r="E166" s="96">
        <v>6843</v>
      </c>
      <c r="F166" s="96">
        <v>145</v>
      </c>
      <c r="G166" s="96">
        <v>7044</v>
      </c>
      <c r="H166" s="96">
        <v>0.97146507670000004</v>
      </c>
      <c r="I166" s="96">
        <v>2.0584894900000001E-2</v>
      </c>
      <c r="J166" s="96">
        <v>7.9500283999999997E-3</v>
      </c>
    </row>
    <row r="167" spans="1:10">
      <c r="A167" s="96" t="s">
        <v>121</v>
      </c>
      <c r="B167" s="96" t="s">
        <v>111</v>
      </c>
      <c r="C167" s="96">
        <v>2001</v>
      </c>
      <c r="D167" s="96">
        <v>166</v>
      </c>
      <c r="E167" s="96">
        <v>6742</v>
      </c>
      <c r="F167" s="96">
        <v>208</v>
      </c>
      <c r="G167" s="96">
        <v>7116</v>
      </c>
      <c r="H167" s="96">
        <v>0.94744238339999998</v>
      </c>
      <c r="I167" s="96">
        <v>2.9229904399999999E-2</v>
      </c>
      <c r="J167" s="96">
        <v>2.33277122E-2</v>
      </c>
    </row>
    <row r="168" spans="1:10">
      <c r="A168" s="96" t="s">
        <v>122</v>
      </c>
      <c r="B168" s="96" t="s">
        <v>111</v>
      </c>
      <c r="C168" s="96">
        <v>2001</v>
      </c>
      <c r="D168" s="96">
        <v>142</v>
      </c>
      <c r="E168" s="96">
        <v>12349</v>
      </c>
      <c r="F168" s="96">
        <v>140</v>
      </c>
      <c r="G168" s="96">
        <v>12631</v>
      </c>
      <c r="H168" s="96">
        <v>0.9776739767</v>
      </c>
      <c r="I168" s="96">
        <v>1.1083841299999999E-2</v>
      </c>
      <c r="J168" s="96">
        <v>1.12421819E-2</v>
      </c>
    </row>
    <row r="169" spans="1:10">
      <c r="A169" s="96" t="s">
        <v>40</v>
      </c>
      <c r="B169" s="96" t="s">
        <v>111</v>
      </c>
      <c r="C169" s="96">
        <v>2001</v>
      </c>
      <c r="D169" s="96">
        <v>45</v>
      </c>
      <c r="E169" s="96">
        <v>2531</v>
      </c>
      <c r="F169" s="96">
        <v>22</v>
      </c>
      <c r="G169" s="96">
        <v>2598</v>
      </c>
      <c r="H169" s="96">
        <v>0.97421093150000004</v>
      </c>
      <c r="I169" s="96">
        <v>8.4680523000000008E-3</v>
      </c>
      <c r="J169" s="96">
        <v>1.7321016200000001E-2</v>
      </c>
    </row>
    <row r="170" spans="1:10">
      <c r="A170" s="96" t="s">
        <v>45</v>
      </c>
      <c r="B170" s="96" t="s">
        <v>111</v>
      </c>
      <c r="C170" s="96">
        <v>2001</v>
      </c>
      <c r="D170" s="96">
        <v>6</v>
      </c>
      <c r="E170" s="96">
        <v>2528</v>
      </c>
      <c r="F170" s="96">
        <v>56</v>
      </c>
      <c r="G170" s="96">
        <v>2590</v>
      </c>
      <c r="H170" s="96">
        <v>0.9760617761</v>
      </c>
      <c r="I170" s="96">
        <v>2.1621621600000002E-2</v>
      </c>
      <c r="J170" s="96">
        <v>2.3166023000000002E-3</v>
      </c>
    </row>
    <row r="171" spans="1:10">
      <c r="A171" s="96" t="s">
        <v>123</v>
      </c>
      <c r="B171" s="96" t="s">
        <v>124</v>
      </c>
      <c r="C171" s="96">
        <v>2001</v>
      </c>
      <c r="D171" s="96">
        <v>152</v>
      </c>
      <c r="E171" s="96">
        <v>1760</v>
      </c>
      <c r="F171" s="96">
        <v>0</v>
      </c>
      <c r="G171" s="96">
        <v>1912</v>
      </c>
      <c r="H171" s="96">
        <v>0.9205020921</v>
      </c>
      <c r="I171" s="96">
        <v>0</v>
      </c>
      <c r="J171" s="96">
        <v>7.9497907899999998E-2</v>
      </c>
    </row>
    <row r="172" spans="1:10">
      <c r="A172" s="96" t="s">
        <v>14</v>
      </c>
      <c r="B172" s="96" t="s">
        <v>124</v>
      </c>
      <c r="C172" s="96">
        <v>2001</v>
      </c>
      <c r="D172" s="96">
        <v>181</v>
      </c>
      <c r="E172" s="96">
        <v>2423</v>
      </c>
      <c r="F172" s="96">
        <v>234</v>
      </c>
      <c r="G172" s="96">
        <v>2838</v>
      </c>
      <c r="H172" s="96">
        <v>0.85377026069999995</v>
      </c>
      <c r="I172" s="96">
        <v>8.2452431300000004E-2</v>
      </c>
      <c r="J172" s="96">
        <v>6.3777308000000005E-2</v>
      </c>
    </row>
    <row r="173" spans="1:10">
      <c r="A173" s="96" t="s">
        <v>125</v>
      </c>
      <c r="B173" s="96" t="s">
        <v>124</v>
      </c>
      <c r="C173" s="96">
        <v>2001</v>
      </c>
      <c r="D173" s="96">
        <v>113</v>
      </c>
      <c r="E173" s="96">
        <v>5356</v>
      </c>
      <c r="F173" s="96">
        <v>306</v>
      </c>
      <c r="G173" s="96">
        <v>5775</v>
      </c>
      <c r="H173" s="96">
        <v>0.9274458874</v>
      </c>
      <c r="I173" s="96">
        <v>5.2987012999999999E-2</v>
      </c>
      <c r="J173" s="96">
        <v>1.9567099599999999E-2</v>
      </c>
    </row>
    <row r="174" spans="1:10">
      <c r="A174" s="96" t="s">
        <v>126</v>
      </c>
      <c r="B174" s="96" t="s">
        <v>124</v>
      </c>
      <c r="C174" s="96">
        <v>2001</v>
      </c>
      <c r="D174" s="96">
        <v>312</v>
      </c>
      <c r="E174" s="96">
        <v>13003</v>
      </c>
      <c r="F174" s="96">
        <v>873</v>
      </c>
      <c r="G174" s="96">
        <v>14188</v>
      </c>
      <c r="H174" s="96">
        <v>0.91647871439999995</v>
      </c>
      <c r="I174" s="96">
        <v>6.1530871199999997E-2</v>
      </c>
      <c r="J174" s="96">
        <v>2.1990414400000002E-2</v>
      </c>
    </row>
    <row r="175" spans="1:10">
      <c r="A175" s="96" t="s">
        <v>127</v>
      </c>
      <c r="B175" s="96" t="s">
        <v>124</v>
      </c>
      <c r="C175" s="96">
        <v>2001</v>
      </c>
      <c r="D175" s="96">
        <v>136</v>
      </c>
      <c r="E175" s="96">
        <v>3032</v>
      </c>
      <c r="F175" s="96">
        <v>574</v>
      </c>
      <c r="G175" s="96">
        <v>3742</v>
      </c>
      <c r="H175" s="96">
        <v>0.81026189199999998</v>
      </c>
      <c r="I175" s="96">
        <v>0.153393907</v>
      </c>
      <c r="J175" s="96">
        <v>3.6344201E-2</v>
      </c>
    </row>
    <row r="176" spans="1:10">
      <c r="A176" s="96" t="s">
        <v>128</v>
      </c>
      <c r="B176" s="96" t="s">
        <v>124</v>
      </c>
      <c r="C176" s="96">
        <v>2001</v>
      </c>
      <c r="D176" s="96">
        <v>18</v>
      </c>
      <c r="E176" s="96">
        <v>4723</v>
      </c>
      <c r="F176" s="96">
        <v>356</v>
      </c>
      <c r="G176" s="96">
        <v>5097</v>
      </c>
      <c r="H176" s="96">
        <v>0.92662350400000004</v>
      </c>
      <c r="I176" s="96">
        <v>6.9845006900000006E-2</v>
      </c>
      <c r="J176" s="96">
        <v>3.5314891000000001E-3</v>
      </c>
    </row>
    <row r="177" spans="1:10">
      <c r="A177" s="96" t="s">
        <v>129</v>
      </c>
      <c r="B177" s="96" t="s">
        <v>124</v>
      </c>
      <c r="C177" s="96">
        <v>2001</v>
      </c>
      <c r="D177" s="96">
        <v>635</v>
      </c>
      <c r="E177" s="96">
        <v>3816</v>
      </c>
      <c r="F177" s="96">
        <v>1033</v>
      </c>
      <c r="G177" s="96">
        <v>5484</v>
      </c>
      <c r="H177" s="96">
        <v>0.69584245079999996</v>
      </c>
      <c r="I177" s="96">
        <v>0.18836615609999999</v>
      </c>
      <c r="J177" s="96">
        <v>0.1157913931</v>
      </c>
    </row>
    <row r="178" spans="1:10">
      <c r="A178" s="96" t="s">
        <v>130</v>
      </c>
      <c r="B178" s="96" t="s">
        <v>124</v>
      </c>
      <c r="C178" s="96">
        <v>2001</v>
      </c>
      <c r="D178" s="96">
        <v>213</v>
      </c>
      <c r="E178" s="96">
        <v>6643</v>
      </c>
      <c r="F178" s="96">
        <v>759</v>
      </c>
      <c r="G178" s="96">
        <v>7615</v>
      </c>
      <c r="H178" s="96">
        <v>0.87235718979999999</v>
      </c>
      <c r="I178" s="96">
        <v>9.9671700599999996E-2</v>
      </c>
      <c r="J178" s="96">
        <v>2.79711097E-2</v>
      </c>
    </row>
    <row r="179" spans="1:10">
      <c r="A179" s="96" t="s">
        <v>19</v>
      </c>
      <c r="B179" s="96" t="s">
        <v>124</v>
      </c>
      <c r="C179" s="96">
        <v>2001</v>
      </c>
      <c r="D179" s="96">
        <v>217</v>
      </c>
      <c r="E179" s="96">
        <v>4332</v>
      </c>
      <c r="F179" s="96">
        <v>1136</v>
      </c>
      <c r="G179" s="96">
        <v>5685</v>
      </c>
      <c r="H179" s="96">
        <v>0.76200527699999998</v>
      </c>
      <c r="I179" s="96">
        <v>0.19982409849999999</v>
      </c>
      <c r="J179" s="96">
        <v>3.81706245E-2</v>
      </c>
    </row>
    <row r="180" spans="1:10">
      <c r="A180" s="96" t="s">
        <v>131</v>
      </c>
      <c r="B180" s="96" t="s">
        <v>124</v>
      </c>
      <c r="C180" s="96">
        <v>2001</v>
      </c>
      <c r="D180" s="96">
        <v>349</v>
      </c>
      <c r="E180" s="96">
        <v>7920</v>
      </c>
      <c r="F180" s="96">
        <v>404</v>
      </c>
      <c r="G180" s="96">
        <v>8673</v>
      </c>
      <c r="H180" s="96">
        <v>0.91317883089999996</v>
      </c>
      <c r="I180" s="96">
        <v>4.6581344400000002E-2</v>
      </c>
      <c r="J180" s="96">
        <v>4.0239824700000003E-2</v>
      </c>
    </row>
    <row r="181" spans="1:10">
      <c r="A181" s="96" t="s">
        <v>20</v>
      </c>
      <c r="B181" s="96" t="s">
        <v>124</v>
      </c>
      <c r="C181" s="96">
        <v>2001</v>
      </c>
      <c r="D181" s="96">
        <v>260</v>
      </c>
      <c r="E181" s="96">
        <v>16124</v>
      </c>
      <c r="F181" s="96">
        <v>2025</v>
      </c>
      <c r="G181" s="96">
        <v>18409</v>
      </c>
      <c r="H181" s="96">
        <v>0.87587593029999999</v>
      </c>
      <c r="I181" s="96">
        <v>0.11000054319999999</v>
      </c>
      <c r="J181" s="96">
        <v>1.4123526500000001E-2</v>
      </c>
    </row>
    <row r="182" spans="1:10">
      <c r="A182" s="96" t="s">
        <v>21</v>
      </c>
      <c r="B182" s="96" t="s">
        <v>124</v>
      </c>
      <c r="C182" s="96">
        <v>2001</v>
      </c>
      <c r="D182" s="96">
        <v>197</v>
      </c>
      <c r="E182" s="96">
        <v>4898</v>
      </c>
      <c r="F182" s="96">
        <v>1051</v>
      </c>
      <c r="G182" s="96">
        <v>6146</v>
      </c>
      <c r="H182" s="96">
        <v>0.79694109989999995</v>
      </c>
      <c r="I182" s="96">
        <v>0.1710055321</v>
      </c>
      <c r="J182" s="96">
        <v>3.2053367999999999E-2</v>
      </c>
    </row>
    <row r="183" spans="1:10">
      <c r="A183" s="96" t="s">
        <v>22</v>
      </c>
      <c r="B183" s="96" t="s">
        <v>124</v>
      </c>
      <c r="C183" s="96">
        <v>2001</v>
      </c>
      <c r="D183" s="96">
        <v>433</v>
      </c>
      <c r="E183" s="96">
        <v>8865</v>
      </c>
      <c r="F183" s="96">
        <v>331</v>
      </c>
      <c r="G183" s="96">
        <v>9629</v>
      </c>
      <c r="H183" s="96">
        <v>0.92065635059999995</v>
      </c>
      <c r="I183" s="96">
        <v>3.4375324499999999E-2</v>
      </c>
      <c r="J183" s="96">
        <v>4.4968324900000002E-2</v>
      </c>
    </row>
    <row r="184" spans="1:10">
      <c r="A184" s="96" t="s">
        <v>25</v>
      </c>
      <c r="B184" s="96" t="s">
        <v>111</v>
      </c>
      <c r="C184" s="96">
        <v>2002</v>
      </c>
      <c r="D184" s="96">
        <v>15</v>
      </c>
      <c r="E184" s="96">
        <v>1874</v>
      </c>
      <c r="F184" s="96">
        <v>28</v>
      </c>
      <c r="G184" s="96">
        <v>1917</v>
      </c>
      <c r="H184" s="96">
        <v>0.97756911840000005</v>
      </c>
      <c r="I184" s="96">
        <v>1.4606155500000001E-2</v>
      </c>
      <c r="J184" s="96">
        <v>7.8247261000000002E-3</v>
      </c>
    </row>
    <row r="185" spans="1:10">
      <c r="A185" s="96" t="s">
        <v>26</v>
      </c>
      <c r="B185" s="96" t="s">
        <v>111</v>
      </c>
      <c r="C185" s="96">
        <v>2002</v>
      </c>
      <c r="D185" s="96">
        <v>2</v>
      </c>
      <c r="E185" s="96">
        <v>2848</v>
      </c>
      <c r="F185" s="96">
        <v>2</v>
      </c>
      <c r="G185" s="96">
        <v>2852</v>
      </c>
      <c r="H185" s="96">
        <v>0.9985974755</v>
      </c>
      <c r="I185" s="96">
        <v>7.0126230000000002E-4</v>
      </c>
      <c r="J185" s="96">
        <v>7.0126230000000002E-4</v>
      </c>
    </row>
    <row r="186" spans="1:10">
      <c r="A186" s="96" t="s">
        <v>27</v>
      </c>
      <c r="B186" s="96" t="s">
        <v>111</v>
      </c>
      <c r="C186" s="96">
        <v>2002</v>
      </c>
      <c r="D186" s="96">
        <v>179</v>
      </c>
      <c r="E186" s="96">
        <v>3291</v>
      </c>
      <c r="F186" s="96">
        <v>14</v>
      </c>
      <c r="G186" s="96">
        <v>3484</v>
      </c>
      <c r="H186" s="96">
        <v>0.94460390360000002</v>
      </c>
      <c r="I186" s="96">
        <v>4.0183696999999997E-3</v>
      </c>
      <c r="J186" s="96">
        <v>5.1377726800000002E-2</v>
      </c>
    </row>
    <row r="187" spans="1:10">
      <c r="A187" s="96" t="s">
        <v>28</v>
      </c>
      <c r="B187" s="96" t="s">
        <v>111</v>
      </c>
      <c r="C187" s="96">
        <v>2002</v>
      </c>
      <c r="D187" s="96">
        <v>21</v>
      </c>
      <c r="E187" s="96">
        <v>848</v>
      </c>
      <c r="F187" s="96">
        <v>6</v>
      </c>
      <c r="G187" s="96">
        <v>875</v>
      </c>
      <c r="H187" s="96">
        <v>0.96914285710000003</v>
      </c>
      <c r="I187" s="96">
        <v>6.8571429E-3</v>
      </c>
      <c r="J187" s="96">
        <v>2.4E-2</v>
      </c>
    </row>
    <row r="188" spans="1:10">
      <c r="A188" s="96" t="s">
        <v>132</v>
      </c>
      <c r="B188" s="96" t="s">
        <v>111</v>
      </c>
      <c r="C188" s="96">
        <v>2002</v>
      </c>
      <c r="D188" s="96">
        <v>2</v>
      </c>
      <c r="E188" s="96">
        <v>2040</v>
      </c>
      <c r="F188" s="96">
        <v>4</v>
      </c>
      <c r="G188" s="96">
        <v>2046</v>
      </c>
      <c r="H188" s="96">
        <v>0.99706744869999997</v>
      </c>
      <c r="I188" s="96">
        <v>1.9550342000000001E-3</v>
      </c>
      <c r="J188" s="96">
        <v>9.7751710000000005E-4</v>
      </c>
    </row>
    <row r="189" spans="1:10">
      <c r="A189" s="96" t="s">
        <v>133</v>
      </c>
      <c r="B189" s="96" t="s">
        <v>111</v>
      </c>
      <c r="C189" s="96">
        <v>2002</v>
      </c>
      <c r="D189" s="96">
        <v>0</v>
      </c>
      <c r="E189" s="96">
        <v>379</v>
      </c>
      <c r="F189" s="96">
        <v>8</v>
      </c>
      <c r="G189" s="96">
        <v>387</v>
      </c>
      <c r="H189" s="96">
        <v>0.97932816540000001</v>
      </c>
      <c r="I189" s="96">
        <v>2.0671834600000001E-2</v>
      </c>
      <c r="J189" s="96">
        <v>0</v>
      </c>
    </row>
    <row r="190" spans="1:10">
      <c r="A190" s="96" t="s">
        <v>112</v>
      </c>
      <c r="B190" s="96" t="s">
        <v>111</v>
      </c>
      <c r="C190" s="96">
        <v>2002</v>
      </c>
      <c r="D190" s="96">
        <v>8</v>
      </c>
      <c r="E190" s="96">
        <v>5619</v>
      </c>
      <c r="F190" s="96">
        <v>56</v>
      </c>
      <c r="G190" s="96">
        <v>5683</v>
      </c>
      <c r="H190" s="96">
        <v>0.98873834240000003</v>
      </c>
      <c r="I190" s="96">
        <v>9.8539504000000003E-3</v>
      </c>
      <c r="J190" s="96">
        <v>1.4077072000000001E-3</v>
      </c>
    </row>
    <row r="191" spans="1:10">
      <c r="A191" s="96" t="s">
        <v>113</v>
      </c>
      <c r="B191" s="96" t="s">
        <v>111</v>
      </c>
      <c r="C191" s="96">
        <v>2002</v>
      </c>
      <c r="D191" s="96">
        <v>8</v>
      </c>
      <c r="E191" s="96">
        <v>4115</v>
      </c>
      <c r="F191" s="96">
        <v>27</v>
      </c>
      <c r="G191" s="96">
        <v>4150</v>
      </c>
      <c r="H191" s="96">
        <v>0.99156626510000001</v>
      </c>
      <c r="I191" s="96">
        <v>6.5060240999999996E-3</v>
      </c>
      <c r="J191" s="96">
        <v>1.9277108000000001E-3</v>
      </c>
    </row>
    <row r="192" spans="1:10">
      <c r="A192" s="96" t="s">
        <v>114</v>
      </c>
      <c r="B192" s="96" t="s">
        <v>111</v>
      </c>
      <c r="C192" s="96">
        <v>2002</v>
      </c>
      <c r="D192" s="96">
        <v>49</v>
      </c>
      <c r="E192" s="96">
        <v>4252</v>
      </c>
      <c r="F192" s="96">
        <v>156</v>
      </c>
      <c r="G192" s="96">
        <v>4457</v>
      </c>
      <c r="H192" s="96">
        <v>0.95400493610000003</v>
      </c>
      <c r="I192" s="96">
        <v>3.50011218E-2</v>
      </c>
      <c r="J192" s="96">
        <v>1.0993942099999999E-2</v>
      </c>
    </row>
    <row r="193" spans="1:10">
      <c r="A193" s="96" t="s">
        <v>115</v>
      </c>
      <c r="B193" s="96" t="s">
        <v>111</v>
      </c>
      <c r="C193" s="96">
        <v>2002</v>
      </c>
      <c r="D193" s="96">
        <v>7</v>
      </c>
      <c r="E193" s="96">
        <v>2780</v>
      </c>
      <c r="F193" s="96">
        <v>15</v>
      </c>
      <c r="G193" s="96">
        <v>2802</v>
      </c>
      <c r="H193" s="96">
        <v>0.99214846540000001</v>
      </c>
      <c r="I193" s="96">
        <v>5.3533191000000001E-3</v>
      </c>
      <c r="J193" s="96">
        <v>2.4982156E-3</v>
      </c>
    </row>
    <row r="194" spans="1:10">
      <c r="A194" s="96" t="s">
        <v>37</v>
      </c>
      <c r="B194" s="96" t="s">
        <v>111</v>
      </c>
      <c r="C194" s="96">
        <v>2002</v>
      </c>
      <c r="D194" s="96">
        <v>67</v>
      </c>
      <c r="E194" s="96">
        <v>2751</v>
      </c>
      <c r="F194" s="96">
        <v>0</v>
      </c>
      <c r="G194" s="96">
        <v>2818</v>
      </c>
      <c r="H194" s="96">
        <v>0.97622427249999999</v>
      </c>
      <c r="I194" s="96">
        <v>0</v>
      </c>
      <c r="J194" s="96">
        <v>2.37757275E-2</v>
      </c>
    </row>
    <row r="195" spans="1:10">
      <c r="A195" s="96" t="s">
        <v>116</v>
      </c>
      <c r="B195" s="96" t="s">
        <v>111</v>
      </c>
      <c r="C195" s="96">
        <v>2002</v>
      </c>
      <c r="D195" s="96">
        <v>70</v>
      </c>
      <c r="E195" s="96">
        <v>1350</v>
      </c>
      <c r="F195" s="96">
        <v>0</v>
      </c>
      <c r="G195" s="96">
        <v>1420</v>
      </c>
      <c r="H195" s="96">
        <v>0.95070422539999999</v>
      </c>
      <c r="I195" s="96">
        <v>0</v>
      </c>
      <c r="J195" s="96">
        <v>4.9295774600000002E-2</v>
      </c>
    </row>
    <row r="196" spans="1:10">
      <c r="A196" s="96" t="s">
        <v>117</v>
      </c>
      <c r="B196" s="96" t="s">
        <v>111</v>
      </c>
      <c r="C196" s="96">
        <v>2002</v>
      </c>
      <c r="D196" s="96">
        <v>4</v>
      </c>
      <c r="E196" s="96">
        <v>1013</v>
      </c>
      <c r="F196" s="96">
        <v>12</v>
      </c>
      <c r="G196" s="96">
        <v>1029</v>
      </c>
      <c r="H196" s="96">
        <v>0.98445092320000005</v>
      </c>
      <c r="I196" s="96">
        <v>1.1661807600000001E-2</v>
      </c>
      <c r="J196" s="96">
        <v>3.8872692000000001E-3</v>
      </c>
    </row>
    <row r="197" spans="1:10">
      <c r="A197" s="96" t="s">
        <v>118</v>
      </c>
      <c r="B197" s="96" t="s">
        <v>111</v>
      </c>
      <c r="C197" s="96">
        <v>2002</v>
      </c>
      <c r="D197" s="96">
        <v>24</v>
      </c>
      <c r="E197" s="96">
        <v>6997</v>
      </c>
      <c r="F197" s="96">
        <v>99</v>
      </c>
      <c r="G197" s="96">
        <v>7120</v>
      </c>
      <c r="H197" s="96">
        <v>0.98272471910000003</v>
      </c>
      <c r="I197" s="96">
        <v>1.39044944E-2</v>
      </c>
      <c r="J197" s="96">
        <v>3.3707864999999999E-3</v>
      </c>
    </row>
    <row r="198" spans="1:10">
      <c r="A198" s="96" t="s">
        <v>119</v>
      </c>
      <c r="B198" s="96" t="s">
        <v>111</v>
      </c>
      <c r="C198" s="96">
        <v>2002</v>
      </c>
      <c r="D198" s="96">
        <v>6</v>
      </c>
      <c r="E198" s="96">
        <v>6245</v>
      </c>
      <c r="F198" s="96">
        <v>2</v>
      </c>
      <c r="G198" s="96">
        <v>6253</v>
      </c>
      <c r="H198" s="96">
        <v>0.99872061410000001</v>
      </c>
      <c r="I198" s="96">
        <v>3.1984649999999999E-4</v>
      </c>
      <c r="J198" s="96">
        <v>9.5953939999999995E-4</v>
      </c>
    </row>
    <row r="199" spans="1:10">
      <c r="A199" s="96" t="s">
        <v>120</v>
      </c>
      <c r="B199" s="96" t="s">
        <v>111</v>
      </c>
      <c r="C199" s="96">
        <v>2002</v>
      </c>
      <c r="D199" s="96">
        <v>17</v>
      </c>
      <c r="E199" s="96">
        <v>7374</v>
      </c>
      <c r="F199" s="96">
        <v>0</v>
      </c>
      <c r="G199" s="96">
        <v>7391</v>
      </c>
      <c r="H199" s="96">
        <v>0.99769990529999997</v>
      </c>
      <c r="I199" s="96">
        <v>0</v>
      </c>
      <c r="J199" s="96">
        <v>2.3000947000000002E-3</v>
      </c>
    </row>
    <row r="200" spans="1:10">
      <c r="A200" s="96" t="s">
        <v>121</v>
      </c>
      <c r="B200" s="96" t="s">
        <v>111</v>
      </c>
      <c r="C200" s="96">
        <v>2002</v>
      </c>
      <c r="D200" s="96">
        <v>47</v>
      </c>
      <c r="E200" s="96">
        <v>7697</v>
      </c>
      <c r="F200" s="96">
        <v>2</v>
      </c>
      <c r="G200" s="96">
        <v>7746</v>
      </c>
      <c r="H200" s="96">
        <v>0.99367415439999995</v>
      </c>
      <c r="I200" s="96">
        <v>2.581978E-4</v>
      </c>
      <c r="J200" s="96">
        <v>6.0676478000000001E-3</v>
      </c>
    </row>
    <row r="201" spans="1:10">
      <c r="A201" s="96" t="s">
        <v>122</v>
      </c>
      <c r="B201" s="96" t="s">
        <v>111</v>
      </c>
      <c r="C201" s="96">
        <v>2002</v>
      </c>
      <c r="D201" s="96">
        <v>9</v>
      </c>
      <c r="E201" s="96">
        <v>12864</v>
      </c>
      <c r="F201" s="96">
        <v>2</v>
      </c>
      <c r="G201" s="96">
        <v>12875</v>
      </c>
      <c r="H201" s="96">
        <v>0.99914563109999999</v>
      </c>
      <c r="I201" s="96">
        <v>1.553398E-4</v>
      </c>
      <c r="J201" s="96">
        <v>6.9902910000000003E-4</v>
      </c>
    </row>
    <row r="202" spans="1:10">
      <c r="A202" s="96" t="s">
        <v>40</v>
      </c>
      <c r="B202" s="96" t="s">
        <v>111</v>
      </c>
      <c r="C202" s="96">
        <v>2002</v>
      </c>
      <c r="D202" s="96">
        <v>38</v>
      </c>
      <c r="E202" s="96">
        <v>2952</v>
      </c>
      <c r="F202" s="96">
        <v>23</v>
      </c>
      <c r="G202" s="96">
        <v>3013</v>
      </c>
      <c r="H202" s="96">
        <v>0.97975439760000005</v>
      </c>
      <c r="I202" s="96">
        <v>7.6335878000000001E-3</v>
      </c>
      <c r="J202" s="96">
        <v>1.2612014600000001E-2</v>
      </c>
    </row>
    <row r="203" spans="1:10">
      <c r="A203" s="96" t="s">
        <v>45</v>
      </c>
      <c r="B203" s="96" t="s">
        <v>111</v>
      </c>
      <c r="C203" s="96">
        <v>2002</v>
      </c>
      <c r="D203" s="96">
        <v>6</v>
      </c>
      <c r="E203" s="96">
        <v>2556</v>
      </c>
      <c r="F203" s="96">
        <v>63</v>
      </c>
      <c r="G203" s="96">
        <v>2625</v>
      </c>
      <c r="H203" s="96">
        <v>0.97371428569999996</v>
      </c>
      <c r="I203" s="96">
        <v>2.4E-2</v>
      </c>
      <c r="J203" s="96">
        <v>2.2857143E-3</v>
      </c>
    </row>
    <row r="204" spans="1:10">
      <c r="A204" s="96" t="s">
        <v>123</v>
      </c>
      <c r="B204" s="96" t="s">
        <v>124</v>
      </c>
      <c r="C204" s="96">
        <v>2002</v>
      </c>
      <c r="D204" s="96">
        <v>183</v>
      </c>
      <c r="E204" s="96">
        <v>1782</v>
      </c>
      <c r="F204" s="96">
        <v>0</v>
      </c>
      <c r="G204" s="96">
        <v>1965</v>
      </c>
      <c r="H204" s="96">
        <v>0.90687022900000003</v>
      </c>
      <c r="I204" s="96">
        <v>0</v>
      </c>
      <c r="J204" s="96">
        <v>9.3129771E-2</v>
      </c>
    </row>
    <row r="205" spans="1:10">
      <c r="A205" s="96" t="s">
        <v>14</v>
      </c>
      <c r="B205" s="96" t="s">
        <v>124</v>
      </c>
      <c r="C205" s="96">
        <v>2002</v>
      </c>
      <c r="D205" s="96">
        <v>145</v>
      </c>
      <c r="E205" s="96">
        <v>2242</v>
      </c>
      <c r="F205" s="96">
        <v>205</v>
      </c>
      <c r="G205" s="96">
        <v>2592</v>
      </c>
      <c r="H205" s="96">
        <v>0.86496913580000001</v>
      </c>
      <c r="I205" s="96">
        <v>7.9089506200000007E-2</v>
      </c>
      <c r="J205" s="96">
        <v>5.5941357999999997E-2</v>
      </c>
    </row>
    <row r="206" spans="1:10">
      <c r="A206" s="96" t="s">
        <v>125</v>
      </c>
      <c r="B206" s="96" t="s">
        <v>124</v>
      </c>
      <c r="C206" s="96">
        <v>2002</v>
      </c>
      <c r="D206" s="96">
        <v>158</v>
      </c>
      <c r="E206" s="96">
        <v>5216</v>
      </c>
      <c r="F206" s="96">
        <v>300</v>
      </c>
      <c r="G206" s="96">
        <v>5674</v>
      </c>
      <c r="H206" s="96">
        <v>0.91928093060000005</v>
      </c>
      <c r="I206" s="96">
        <v>5.28727529E-2</v>
      </c>
      <c r="J206" s="96">
        <v>2.7846316499999999E-2</v>
      </c>
    </row>
    <row r="207" spans="1:10">
      <c r="A207" s="96" t="s">
        <v>126</v>
      </c>
      <c r="B207" s="96" t="s">
        <v>124</v>
      </c>
      <c r="C207" s="96">
        <v>2002</v>
      </c>
      <c r="D207" s="96">
        <v>306</v>
      </c>
      <c r="E207" s="96">
        <v>13116</v>
      </c>
      <c r="F207" s="96">
        <v>903</v>
      </c>
      <c r="G207" s="96">
        <v>14325</v>
      </c>
      <c r="H207" s="96">
        <v>0.91560209420000005</v>
      </c>
      <c r="I207" s="96">
        <v>6.3036649200000003E-2</v>
      </c>
      <c r="J207" s="96">
        <v>2.1361256499999998E-2</v>
      </c>
    </row>
    <row r="208" spans="1:10">
      <c r="A208" s="96" t="s">
        <v>127</v>
      </c>
      <c r="B208" s="96" t="s">
        <v>124</v>
      </c>
      <c r="C208" s="96">
        <v>2002</v>
      </c>
      <c r="D208" s="96">
        <v>110</v>
      </c>
      <c r="E208" s="96">
        <v>3111</v>
      </c>
      <c r="F208" s="96">
        <v>604</v>
      </c>
      <c r="G208" s="96">
        <v>3825</v>
      </c>
      <c r="H208" s="96">
        <v>0.81333333330000002</v>
      </c>
      <c r="I208" s="96">
        <v>0.15790849670000001</v>
      </c>
      <c r="J208" s="96">
        <v>2.8758169900000002E-2</v>
      </c>
    </row>
    <row r="209" spans="1:10">
      <c r="A209" s="96" t="s">
        <v>128</v>
      </c>
      <c r="B209" s="96" t="s">
        <v>124</v>
      </c>
      <c r="C209" s="96">
        <v>2002</v>
      </c>
      <c r="D209" s="96">
        <v>26</v>
      </c>
      <c r="E209" s="96">
        <v>4775</v>
      </c>
      <c r="F209" s="96">
        <v>331</v>
      </c>
      <c r="G209" s="96">
        <v>5132</v>
      </c>
      <c r="H209" s="96">
        <v>0.93043647699999998</v>
      </c>
      <c r="I209" s="96">
        <v>6.4497271999999994E-2</v>
      </c>
      <c r="J209" s="96">
        <v>5.0662509999999999E-3</v>
      </c>
    </row>
    <row r="210" spans="1:10">
      <c r="A210" s="96" t="s">
        <v>129</v>
      </c>
      <c r="B210" s="96" t="s">
        <v>124</v>
      </c>
      <c r="C210" s="96">
        <v>2002</v>
      </c>
      <c r="D210" s="96">
        <v>567</v>
      </c>
      <c r="E210" s="96">
        <v>3847</v>
      </c>
      <c r="F210" s="96">
        <v>1043</v>
      </c>
      <c r="G210" s="96">
        <v>5457</v>
      </c>
      <c r="H210" s="96">
        <v>0.70496609860000004</v>
      </c>
      <c r="I210" s="96">
        <v>0.1911306579</v>
      </c>
      <c r="J210" s="96">
        <v>0.10390324350000001</v>
      </c>
    </row>
    <row r="211" spans="1:10">
      <c r="A211" s="96" t="s">
        <v>130</v>
      </c>
      <c r="B211" s="96" t="s">
        <v>124</v>
      </c>
      <c r="C211" s="96">
        <v>2002</v>
      </c>
      <c r="D211" s="96">
        <v>211</v>
      </c>
      <c r="E211" s="96">
        <v>6846</v>
      </c>
      <c r="F211" s="96">
        <v>791</v>
      </c>
      <c r="G211" s="96">
        <v>7848</v>
      </c>
      <c r="H211" s="96">
        <v>0.87232415900000004</v>
      </c>
      <c r="I211" s="96">
        <v>0.1007900102</v>
      </c>
      <c r="J211" s="96">
        <v>2.68858308E-2</v>
      </c>
    </row>
    <row r="212" spans="1:10">
      <c r="A212" s="96" t="s">
        <v>19</v>
      </c>
      <c r="B212" s="96" t="s">
        <v>124</v>
      </c>
      <c r="C212" s="96">
        <v>2002</v>
      </c>
      <c r="D212" s="96">
        <v>249</v>
      </c>
      <c r="E212" s="96">
        <v>4240</v>
      </c>
      <c r="F212" s="96">
        <v>1150</v>
      </c>
      <c r="G212" s="96">
        <v>5639</v>
      </c>
      <c r="H212" s="96">
        <v>0.75190636639999997</v>
      </c>
      <c r="I212" s="96">
        <v>0.20393686820000001</v>
      </c>
      <c r="J212" s="96">
        <v>4.4156765399999999E-2</v>
      </c>
    </row>
    <row r="213" spans="1:10">
      <c r="A213" s="96" t="s">
        <v>131</v>
      </c>
      <c r="B213" s="96" t="s">
        <v>124</v>
      </c>
      <c r="C213" s="96">
        <v>2002</v>
      </c>
      <c r="D213" s="96">
        <v>404</v>
      </c>
      <c r="E213" s="96">
        <v>7678</v>
      </c>
      <c r="F213" s="96">
        <v>382</v>
      </c>
      <c r="G213" s="96">
        <v>8464</v>
      </c>
      <c r="H213" s="96">
        <v>0.90713610590000004</v>
      </c>
      <c r="I213" s="96">
        <v>4.5132325100000002E-2</v>
      </c>
      <c r="J213" s="96">
        <v>4.7731569000000001E-2</v>
      </c>
    </row>
    <row r="214" spans="1:10">
      <c r="A214" s="96" t="s">
        <v>20</v>
      </c>
      <c r="B214" s="96" t="s">
        <v>124</v>
      </c>
      <c r="C214" s="96">
        <v>2002</v>
      </c>
      <c r="D214" s="96">
        <v>267</v>
      </c>
      <c r="E214" s="96">
        <v>17249</v>
      </c>
      <c r="F214" s="96">
        <v>2157</v>
      </c>
      <c r="G214" s="96">
        <v>19673</v>
      </c>
      <c r="H214" s="96">
        <v>0.87678544199999997</v>
      </c>
      <c r="I214" s="96">
        <v>0.1096426574</v>
      </c>
      <c r="J214" s="96">
        <v>1.3571900600000001E-2</v>
      </c>
    </row>
    <row r="215" spans="1:10">
      <c r="A215" s="96" t="s">
        <v>21</v>
      </c>
      <c r="B215" s="96" t="s">
        <v>124</v>
      </c>
      <c r="C215" s="96">
        <v>2002</v>
      </c>
      <c r="D215" s="96">
        <v>176</v>
      </c>
      <c r="E215" s="96">
        <v>5183</v>
      </c>
      <c r="F215" s="96">
        <v>1248</v>
      </c>
      <c r="G215" s="96">
        <v>6607</v>
      </c>
      <c r="H215" s="96">
        <v>0.78447101559999999</v>
      </c>
      <c r="I215" s="96">
        <v>0.1888905706</v>
      </c>
      <c r="J215" s="96">
        <v>2.66384138E-2</v>
      </c>
    </row>
    <row r="216" spans="1:10">
      <c r="A216" s="96" t="s">
        <v>22</v>
      </c>
      <c r="B216" s="96" t="s">
        <v>124</v>
      </c>
      <c r="C216" s="96">
        <v>2002</v>
      </c>
      <c r="D216" s="96">
        <v>462</v>
      </c>
      <c r="E216" s="96">
        <v>8655</v>
      </c>
      <c r="F216" s="96">
        <v>382</v>
      </c>
      <c r="G216" s="96">
        <v>9499</v>
      </c>
      <c r="H216" s="96">
        <v>0.91114854199999995</v>
      </c>
      <c r="I216" s="96">
        <v>4.0214759400000001E-2</v>
      </c>
      <c r="J216" s="96">
        <v>4.86366986E-2</v>
      </c>
    </row>
    <row r="217" spans="1:10">
      <c r="A217" s="96" t="s">
        <v>25</v>
      </c>
      <c r="B217" s="96" t="s">
        <v>111</v>
      </c>
      <c r="C217" s="96">
        <v>2003</v>
      </c>
      <c r="D217" s="96">
        <v>31</v>
      </c>
      <c r="E217" s="96">
        <v>2342</v>
      </c>
      <c r="F217" s="96">
        <v>56</v>
      </c>
      <c r="G217" s="96">
        <v>2429</v>
      </c>
      <c r="H217" s="96">
        <v>0.96418279129999995</v>
      </c>
      <c r="I217" s="96">
        <v>2.3054755E-2</v>
      </c>
      <c r="J217" s="96">
        <v>1.2762453700000001E-2</v>
      </c>
    </row>
    <row r="218" spans="1:10">
      <c r="A218" s="96" t="s">
        <v>26</v>
      </c>
      <c r="B218" s="96" t="s">
        <v>111</v>
      </c>
      <c r="C218" s="96">
        <v>2003</v>
      </c>
      <c r="D218" s="96">
        <v>3</v>
      </c>
      <c r="E218" s="96">
        <v>3176</v>
      </c>
      <c r="F218" s="96">
        <v>0</v>
      </c>
      <c r="G218" s="96">
        <v>3179</v>
      </c>
      <c r="H218" s="96">
        <v>0.99905630700000003</v>
      </c>
      <c r="I218" s="96">
        <v>0</v>
      </c>
      <c r="J218" s="96">
        <v>9.4369300000000001E-4</v>
      </c>
    </row>
    <row r="219" spans="1:10">
      <c r="A219" s="96" t="s">
        <v>27</v>
      </c>
      <c r="B219" s="96" t="s">
        <v>111</v>
      </c>
      <c r="C219" s="96">
        <v>2003</v>
      </c>
      <c r="D219" s="96">
        <v>178</v>
      </c>
      <c r="E219" s="96">
        <v>3390</v>
      </c>
      <c r="F219" s="96">
        <v>13</v>
      </c>
      <c r="G219" s="96">
        <v>3581</v>
      </c>
      <c r="H219" s="96">
        <v>0.9466629433</v>
      </c>
      <c r="I219" s="96">
        <v>3.6302709E-3</v>
      </c>
      <c r="J219" s="96">
        <v>4.97067858E-2</v>
      </c>
    </row>
    <row r="220" spans="1:10">
      <c r="A220" s="96" t="s">
        <v>28</v>
      </c>
      <c r="B220" s="96" t="s">
        <v>111</v>
      </c>
      <c r="C220" s="96">
        <v>2003</v>
      </c>
      <c r="D220" s="96">
        <v>6</v>
      </c>
      <c r="E220" s="96">
        <v>862</v>
      </c>
      <c r="F220" s="96">
        <v>4</v>
      </c>
      <c r="G220" s="96">
        <v>872</v>
      </c>
      <c r="H220" s="96">
        <v>0.98853211009999997</v>
      </c>
      <c r="I220" s="96">
        <v>4.5871560000000002E-3</v>
      </c>
      <c r="J220" s="96">
        <v>6.8807338999999999E-3</v>
      </c>
    </row>
    <row r="221" spans="1:10">
      <c r="A221" s="96" t="s">
        <v>132</v>
      </c>
      <c r="B221" s="96" t="s">
        <v>111</v>
      </c>
      <c r="C221" s="96">
        <v>2003</v>
      </c>
      <c r="D221" s="96">
        <v>4</v>
      </c>
      <c r="E221" s="96">
        <v>2282</v>
      </c>
      <c r="F221" s="96">
        <v>6</v>
      </c>
      <c r="G221" s="96">
        <v>2292</v>
      </c>
      <c r="H221" s="96">
        <v>0.99563699829999996</v>
      </c>
      <c r="I221" s="96">
        <v>2.6178009999999999E-3</v>
      </c>
      <c r="J221" s="96">
        <v>1.7452006999999999E-3</v>
      </c>
    </row>
    <row r="222" spans="1:10">
      <c r="A222" s="96" t="s">
        <v>133</v>
      </c>
      <c r="B222" s="96" t="s">
        <v>111</v>
      </c>
      <c r="C222" s="96">
        <v>2003</v>
      </c>
      <c r="D222" s="96">
        <v>0</v>
      </c>
      <c r="E222" s="96">
        <v>380</v>
      </c>
      <c r="F222" s="96">
        <v>15</v>
      </c>
      <c r="G222" s="96">
        <v>395</v>
      </c>
      <c r="H222" s="96">
        <v>0.96202531650000001</v>
      </c>
      <c r="I222" s="96">
        <v>3.7974683500000002E-2</v>
      </c>
      <c r="J222" s="96">
        <v>0</v>
      </c>
    </row>
    <row r="223" spans="1:10">
      <c r="A223" s="96" t="s">
        <v>112</v>
      </c>
      <c r="B223" s="96" t="s">
        <v>111</v>
      </c>
      <c r="C223" s="96">
        <v>2003</v>
      </c>
      <c r="D223" s="96">
        <v>10</v>
      </c>
      <c r="E223" s="96">
        <v>5540</v>
      </c>
      <c r="F223" s="96">
        <v>43</v>
      </c>
      <c r="G223" s="96">
        <v>5593</v>
      </c>
      <c r="H223" s="96">
        <v>0.99052386910000001</v>
      </c>
      <c r="I223" s="96">
        <v>7.6881817000000003E-3</v>
      </c>
      <c r="J223" s="96">
        <v>1.7879491999999999E-3</v>
      </c>
    </row>
    <row r="224" spans="1:10">
      <c r="A224" s="96" t="s">
        <v>113</v>
      </c>
      <c r="B224" s="96" t="s">
        <v>111</v>
      </c>
      <c r="C224" s="96">
        <v>2003</v>
      </c>
      <c r="D224" s="96">
        <v>6</v>
      </c>
      <c r="E224" s="96">
        <v>4017</v>
      </c>
      <c r="F224" s="96">
        <v>29</v>
      </c>
      <c r="G224" s="96">
        <v>4052</v>
      </c>
      <c r="H224" s="96">
        <v>0.9913622902</v>
      </c>
      <c r="I224" s="96">
        <v>7.1569594999999998E-3</v>
      </c>
      <c r="J224" s="96">
        <v>1.4807501999999999E-3</v>
      </c>
    </row>
    <row r="225" spans="1:10">
      <c r="A225" s="96" t="s">
        <v>114</v>
      </c>
      <c r="B225" s="96" t="s">
        <v>111</v>
      </c>
      <c r="C225" s="96">
        <v>2003</v>
      </c>
      <c r="D225" s="96">
        <v>89</v>
      </c>
      <c r="E225" s="96">
        <v>4272</v>
      </c>
      <c r="F225" s="96">
        <v>123</v>
      </c>
      <c r="G225" s="96">
        <v>4484</v>
      </c>
      <c r="H225" s="96">
        <v>0.95272078500000001</v>
      </c>
      <c r="I225" s="96">
        <v>2.7430865299999999E-2</v>
      </c>
      <c r="J225" s="96">
        <v>1.98483497E-2</v>
      </c>
    </row>
    <row r="226" spans="1:10">
      <c r="A226" s="96" t="s">
        <v>115</v>
      </c>
      <c r="B226" s="96" t="s">
        <v>111</v>
      </c>
      <c r="C226" s="96">
        <v>2003</v>
      </c>
      <c r="D226" s="96">
        <v>6</v>
      </c>
      <c r="E226" s="96">
        <v>2586</v>
      </c>
      <c r="F226" s="96">
        <v>10</v>
      </c>
      <c r="G226" s="96">
        <v>2602</v>
      </c>
      <c r="H226" s="96">
        <v>0.99385088389999998</v>
      </c>
      <c r="I226" s="96">
        <v>3.8431975000000002E-3</v>
      </c>
      <c r="J226" s="96">
        <v>2.3059184999999999E-3</v>
      </c>
    </row>
    <row r="227" spans="1:10">
      <c r="A227" s="96" t="s">
        <v>37</v>
      </c>
      <c r="B227" s="96" t="s">
        <v>111</v>
      </c>
      <c r="C227" s="96">
        <v>2003</v>
      </c>
      <c r="D227" s="96">
        <v>59</v>
      </c>
      <c r="E227" s="96">
        <v>2899</v>
      </c>
      <c r="F227" s="96">
        <v>0</v>
      </c>
      <c r="G227" s="96">
        <v>2958</v>
      </c>
      <c r="H227" s="96">
        <v>0.98005409060000004</v>
      </c>
      <c r="I227" s="96">
        <v>0</v>
      </c>
      <c r="J227" s="96">
        <v>1.99459094E-2</v>
      </c>
    </row>
    <row r="228" spans="1:10">
      <c r="A228" s="96" t="s">
        <v>116</v>
      </c>
      <c r="B228" s="96" t="s">
        <v>111</v>
      </c>
      <c r="C228" s="96">
        <v>2003</v>
      </c>
      <c r="D228" s="96">
        <v>105</v>
      </c>
      <c r="E228" s="96">
        <v>1288</v>
      </c>
      <c r="F228" s="96">
        <v>36</v>
      </c>
      <c r="G228" s="96">
        <v>1429</v>
      </c>
      <c r="H228" s="96">
        <v>0.90132960110000004</v>
      </c>
      <c r="I228" s="96">
        <v>2.5192442299999999E-2</v>
      </c>
      <c r="J228" s="96">
        <v>7.3477956600000005E-2</v>
      </c>
    </row>
    <row r="229" spans="1:10">
      <c r="A229" s="96" t="s">
        <v>117</v>
      </c>
      <c r="B229" s="96" t="s">
        <v>111</v>
      </c>
      <c r="C229" s="96">
        <v>2003</v>
      </c>
      <c r="D229" s="96">
        <v>9</v>
      </c>
      <c r="E229" s="96">
        <v>1079</v>
      </c>
      <c r="F229" s="96">
        <v>9</v>
      </c>
      <c r="G229" s="96">
        <v>1097</v>
      </c>
      <c r="H229" s="96">
        <v>0.98359161350000002</v>
      </c>
      <c r="I229" s="96">
        <v>8.2041933000000008E-3</v>
      </c>
      <c r="J229" s="96">
        <v>8.2041933000000008E-3</v>
      </c>
    </row>
    <row r="230" spans="1:10">
      <c r="A230" s="96" t="s">
        <v>118</v>
      </c>
      <c r="B230" s="96" t="s">
        <v>111</v>
      </c>
      <c r="C230" s="96">
        <v>2003</v>
      </c>
      <c r="D230" s="96">
        <v>31</v>
      </c>
      <c r="E230" s="96">
        <v>7490</v>
      </c>
      <c r="F230" s="96">
        <v>132</v>
      </c>
      <c r="G230" s="96">
        <v>7653</v>
      </c>
      <c r="H230" s="96">
        <v>0.97870116289999998</v>
      </c>
      <c r="I230" s="96">
        <v>1.7248138E-2</v>
      </c>
      <c r="J230" s="96">
        <v>4.0506991000000001E-3</v>
      </c>
    </row>
    <row r="231" spans="1:10">
      <c r="A231" s="96" t="s">
        <v>119</v>
      </c>
      <c r="B231" s="96" t="s">
        <v>111</v>
      </c>
      <c r="C231" s="96">
        <v>2003</v>
      </c>
      <c r="D231" s="96">
        <v>3</v>
      </c>
      <c r="E231" s="96">
        <v>6646</v>
      </c>
      <c r="F231" s="96">
        <v>12</v>
      </c>
      <c r="G231" s="96">
        <v>6661</v>
      </c>
      <c r="H231" s="96">
        <v>0.99774808589999997</v>
      </c>
      <c r="I231" s="96">
        <v>1.8015313E-3</v>
      </c>
      <c r="J231" s="96">
        <v>4.5038279999999999E-4</v>
      </c>
    </row>
    <row r="232" spans="1:10">
      <c r="A232" s="96" t="s">
        <v>120</v>
      </c>
      <c r="B232" s="96" t="s">
        <v>111</v>
      </c>
      <c r="C232" s="96">
        <v>2003</v>
      </c>
      <c r="D232" s="96">
        <v>780</v>
      </c>
      <c r="E232" s="96">
        <v>6303</v>
      </c>
      <c r="F232" s="96">
        <v>170</v>
      </c>
      <c r="G232" s="96">
        <v>7253</v>
      </c>
      <c r="H232" s="96">
        <v>0.86901971600000005</v>
      </c>
      <c r="I232" s="96">
        <v>2.34385771E-2</v>
      </c>
      <c r="J232" s="96">
        <v>0.10754170690000001</v>
      </c>
    </row>
    <row r="233" spans="1:10">
      <c r="A233" s="96" t="s">
        <v>121</v>
      </c>
      <c r="B233" s="96" t="s">
        <v>111</v>
      </c>
      <c r="C233" s="96">
        <v>2003</v>
      </c>
      <c r="D233" s="96">
        <v>1292</v>
      </c>
      <c r="E233" s="96">
        <v>6189</v>
      </c>
      <c r="F233" s="96">
        <v>261</v>
      </c>
      <c r="G233" s="96">
        <v>7742</v>
      </c>
      <c r="H233" s="96">
        <v>0.7994058383</v>
      </c>
      <c r="I233" s="96">
        <v>3.3712219100000003E-2</v>
      </c>
      <c r="J233" s="96">
        <v>0.16688194270000001</v>
      </c>
    </row>
    <row r="234" spans="1:10">
      <c r="A234" s="96" t="s">
        <v>122</v>
      </c>
      <c r="B234" s="96" t="s">
        <v>111</v>
      </c>
      <c r="C234" s="96">
        <v>2003</v>
      </c>
      <c r="D234" s="96">
        <v>1115</v>
      </c>
      <c r="E234" s="96">
        <v>11688</v>
      </c>
      <c r="F234" s="96">
        <v>169</v>
      </c>
      <c r="G234" s="96">
        <v>12972</v>
      </c>
      <c r="H234" s="96">
        <v>0.90101757630000001</v>
      </c>
      <c r="I234" s="96">
        <v>1.3028060399999999E-2</v>
      </c>
      <c r="J234" s="96">
        <v>8.5954363199999995E-2</v>
      </c>
    </row>
    <row r="235" spans="1:10">
      <c r="A235" s="96" t="s">
        <v>40</v>
      </c>
      <c r="B235" s="96" t="s">
        <v>111</v>
      </c>
      <c r="C235" s="96">
        <v>2003</v>
      </c>
      <c r="D235" s="96">
        <v>19</v>
      </c>
      <c r="E235" s="96">
        <v>3194</v>
      </c>
      <c r="F235" s="96">
        <v>21</v>
      </c>
      <c r="G235" s="96">
        <v>3234</v>
      </c>
      <c r="H235" s="96">
        <v>0.98763141619999995</v>
      </c>
      <c r="I235" s="96">
        <v>6.4935065000000002E-3</v>
      </c>
      <c r="J235" s="96">
        <v>5.8750772999999999E-3</v>
      </c>
    </row>
    <row r="236" spans="1:10">
      <c r="A236" s="96" t="s">
        <v>45</v>
      </c>
      <c r="B236" s="96" t="s">
        <v>111</v>
      </c>
      <c r="C236" s="96">
        <v>2003</v>
      </c>
      <c r="D236" s="96">
        <v>12</v>
      </c>
      <c r="E236" s="96">
        <v>2907</v>
      </c>
      <c r="F236" s="96">
        <v>75</v>
      </c>
      <c r="G236" s="96">
        <v>2994</v>
      </c>
      <c r="H236" s="96">
        <v>0.97094188380000002</v>
      </c>
      <c r="I236" s="96">
        <v>2.5050100200000001E-2</v>
      </c>
      <c r="J236" s="96">
        <v>4.0080159999999997E-3</v>
      </c>
    </row>
    <row r="237" spans="1:10">
      <c r="A237" s="96" t="s">
        <v>123</v>
      </c>
      <c r="B237" s="96" t="s">
        <v>124</v>
      </c>
      <c r="C237" s="96">
        <v>2003</v>
      </c>
      <c r="D237" s="96">
        <v>245</v>
      </c>
      <c r="E237" s="96">
        <v>1545</v>
      </c>
      <c r="F237" s="96">
        <v>116</v>
      </c>
      <c r="G237" s="96">
        <v>1906</v>
      </c>
      <c r="H237" s="96">
        <v>0.81059811120000003</v>
      </c>
      <c r="I237" s="96">
        <v>6.0860440699999997E-2</v>
      </c>
      <c r="J237" s="96">
        <v>0.12854144810000001</v>
      </c>
    </row>
    <row r="238" spans="1:10">
      <c r="A238" s="96" t="s">
        <v>14</v>
      </c>
      <c r="B238" s="96" t="s">
        <v>124</v>
      </c>
      <c r="C238" s="96">
        <v>2003</v>
      </c>
      <c r="D238" s="96">
        <v>190</v>
      </c>
      <c r="E238" s="96">
        <v>2126</v>
      </c>
      <c r="F238" s="96">
        <v>232</v>
      </c>
      <c r="G238" s="96">
        <v>2548</v>
      </c>
      <c r="H238" s="96">
        <v>0.83437990579999999</v>
      </c>
      <c r="I238" s="96">
        <v>9.1051805299999997E-2</v>
      </c>
      <c r="J238" s="96">
        <v>7.4568288900000002E-2</v>
      </c>
    </row>
    <row r="239" spans="1:10">
      <c r="A239" s="96" t="s">
        <v>125</v>
      </c>
      <c r="B239" s="96" t="s">
        <v>124</v>
      </c>
      <c r="C239" s="96">
        <v>2003</v>
      </c>
      <c r="D239" s="96">
        <v>134</v>
      </c>
      <c r="E239" s="96">
        <v>4840</v>
      </c>
      <c r="F239" s="96">
        <v>309</v>
      </c>
      <c r="G239" s="96">
        <v>5283</v>
      </c>
      <c r="H239" s="96">
        <v>0.91614612910000004</v>
      </c>
      <c r="I239" s="96">
        <v>5.8489494599999997E-2</v>
      </c>
      <c r="J239" s="96">
        <v>2.5364376300000002E-2</v>
      </c>
    </row>
    <row r="240" spans="1:10">
      <c r="A240" s="96" t="s">
        <v>126</v>
      </c>
      <c r="B240" s="96" t="s">
        <v>124</v>
      </c>
      <c r="C240" s="96">
        <v>2003</v>
      </c>
      <c r="D240" s="96">
        <v>273</v>
      </c>
      <c r="E240" s="96">
        <v>13362</v>
      </c>
      <c r="F240" s="96">
        <v>816</v>
      </c>
      <c r="G240" s="96">
        <v>14451</v>
      </c>
      <c r="H240" s="96">
        <v>0.92464189330000002</v>
      </c>
      <c r="I240" s="96">
        <v>5.6466680499999998E-2</v>
      </c>
      <c r="J240" s="96">
        <v>1.8891426199999999E-2</v>
      </c>
    </row>
    <row r="241" spans="1:10">
      <c r="A241" s="96" t="s">
        <v>127</v>
      </c>
      <c r="B241" s="96" t="s">
        <v>124</v>
      </c>
      <c r="C241" s="96">
        <v>2003</v>
      </c>
      <c r="D241" s="96">
        <v>97</v>
      </c>
      <c r="E241" s="96">
        <v>3380</v>
      </c>
      <c r="F241" s="96">
        <v>595</v>
      </c>
      <c r="G241" s="96">
        <v>4072</v>
      </c>
      <c r="H241" s="96">
        <v>0.83005893909999995</v>
      </c>
      <c r="I241" s="96">
        <v>0.14611984280000001</v>
      </c>
      <c r="J241" s="96">
        <v>2.38212181E-2</v>
      </c>
    </row>
    <row r="242" spans="1:10">
      <c r="A242" s="96" t="s">
        <v>128</v>
      </c>
      <c r="B242" s="96" t="s">
        <v>124</v>
      </c>
      <c r="C242" s="96">
        <v>2003</v>
      </c>
      <c r="D242" s="96">
        <v>30</v>
      </c>
      <c r="E242" s="96">
        <v>4473</v>
      </c>
      <c r="F242" s="96">
        <v>300</v>
      </c>
      <c r="G242" s="96">
        <v>4803</v>
      </c>
      <c r="H242" s="96">
        <v>0.9312929419</v>
      </c>
      <c r="I242" s="96">
        <v>6.24609619E-2</v>
      </c>
      <c r="J242" s="96">
        <v>6.2460961999999997E-3</v>
      </c>
    </row>
    <row r="243" spans="1:10">
      <c r="A243" s="96" t="s">
        <v>129</v>
      </c>
      <c r="B243" s="96" t="s">
        <v>124</v>
      </c>
      <c r="C243" s="96">
        <v>2003</v>
      </c>
      <c r="D243" s="96">
        <v>467</v>
      </c>
      <c r="E243" s="96">
        <v>3842</v>
      </c>
      <c r="F243" s="96">
        <v>966</v>
      </c>
      <c r="G243" s="96">
        <v>5275</v>
      </c>
      <c r="H243" s="96">
        <v>0.72834123220000002</v>
      </c>
      <c r="I243" s="96">
        <v>0.18312796210000001</v>
      </c>
      <c r="J243" s="96">
        <v>8.8530805700000006E-2</v>
      </c>
    </row>
    <row r="244" spans="1:10">
      <c r="A244" s="96" t="s">
        <v>130</v>
      </c>
      <c r="B244" s="96" t="s">
        <v>124</v>
      </c>
      <c r="C244" s="96">
        <v>2003</v>
      </c>
      <c r="D244" s="96">
        <v>192</v>
      </c>
      <c r="E244" s="96">
        <v>6933</v>
      </c>
      <c r="F244" s="96">
        <v>823</v>
      </c>
      <c r="G244" s="96">
        <v>7948</v>
      </c>
      <c r="H244" s="96">
        <v>0.87229491699999995</v>
      </c>
      <c r="I244" s="96">
        <v>0.1035480624</v>
      </c>
      <c r="J244" s="96">
        <v>2.4157020599999999E-2</v>
      </c>
    </row>
    <row r="245" spans="1:10">
      <c r="A245" s="96" t="s">
        <v>19</v>
      </c>
      <c r="B245" s="96" t="s">
        <v>124</v>
      </c>
      <c r="C245" s="96">
        <v>2003</v>
      </c>
      <c r="D245" s="96">
        <v>255</v>
      </c>
      <c r="E245" s="96">
        <v>4105</v>
      </c>
      <c r="F245" s="96">
        <v>1119</v>
      </c>
      <c r="G245" s="96">
        <v>5479</v>
      </c>
      <c r="H245" s="96">
        <v>0.74922431099999998</v>
      </c>
      <c r="I245" s="96">
        <v>0.20423434930000001</v>
      </c>
      <c r="J245" s="96">
        <v>4.6541339700000003E-2</v>
      </c>
    </row>
    <row r="246" spans="1:10">
      <c r="A246" s="96" t="s">
        <v>131</v>
      </c>
      <c r="B246" s="96" t="s">
        <v>124</v>
      </c>
      <c r="C246" s="96">
        <v>2003</v>
      </c>
      <c r="D246" s="96">
        <v>315</v>
      </c>
      <c r="E246" s="96">
        <v>7649</v>
      </c>
      <c r="F246" s="96">
        <v>397</v>
      </c>
      <c r="G246" s="96">
        <v>8361</v>
      </c>
      <c r="H246" s="96">
        <v>0.91484272219999996</v>
      </c>
      <c r="I246" s="96">
        <v>4.7482358600000003E-2</v>
      </c>
      <c r="J246" s="96">
        <v>3.7674919299999998E-2</v>
      </c>
    </row>
    <row r="247" spans="1:10">
      <c r="A247" s="96" t="s">
        <v>20</v>
      </c>
      <c r="B247" s="96" t="s">
        <v>124</v>
      </c>
      <c r="C247" s="96">
        <v>2003</v>
      </c>
      <c r="D247" s="96">
        <v>239</v>
      </c>
      <c r="E247" s="96">
        <v>17927</v>
      </c>
      <c r="F247" s="96">
        <v>2241</v>
      </c>
      <c r="G247" s="96">
        <v>20407</v>
      </c>
      <c r="H247" s="96">
        <v>0.87847307299999999</v>
      </c>
      <c r="I247" s="96">
        <v>0.1098152595</v>
      </c>
      <c r="J247" s="96">
        <v>1.17116676E-2</v>
      </c>
    </row>
    <row r="248" spans="1:10">
      <c r="A248" s="96" t="s">
        <v>21</v>
      </c>
      <c r="B248" s="96" t="s">
        <v>124</v>
      </c>
      <c r="C248" s="96">
        <v>2003</v>
      </c>
      <c r="D248" s="96">
        <v>177</v>
      </c>
      <c r="E248" s="96">
        <v>5264</v>
      </c>
      <c r="F248" s="96">
        <v>1400</v>
      </c>
      <c r="G248" s="96">
        <v>6841</v>
      </c>
      <c r="H248" s="96">
        <v>0.76947814650000002</v>
      </c>
      <c r="I248" s="96">
        <v>0.2046484432</v>
      </c>
      <c r="J248" s="96">
        <v>2.58734103E-2</v>
      </c>
    </row>
    <row r="249" spans="1:10">
      <c r="A249" s="96" t="s">
        <v>22</v>
      </c>
      <c r="B249" s="96" t="s">
        <v>124</v>
      </c>
      <c r="C249" s="96">
        <v>2003</v>
      </c>
      <c r="D249" s="96">
        <v>436</v>
      </c>
      <c r="E249" s="96">
        <v>8367</v>
      </c>
      <c r="F249" s="96">
        <v>510</v>
      </c>
      <c r="G249" s="96">
        <v>9313</v>
      </c>
      <c r="H249" s="96">
        <v>0.89842156129999995</v>
      </c>
      <c r="I249" s="96">
        <v>5.4762160400000003E-2</v>
      </c>
      <c r="J249" s="96">
        <v>4.68162783E-2</v>
      </c>
    </row>
    <row r="250" spans="1:10">
      <c r="A250" s="96" t="s">
        <v>25</v>
      </c>
      <c r="B250" s="96" t="s">
        <v>111</v>
      </c>
      <c r="C250" s="96">
        <v>2004</v>
      </c>
      <c r="D250" s="96">
        <v>33</v>
      </c>
      <c r="E250" s="96">
        <v>2309</v>
      </c>
      <c r="F250" s="96">
        <v>59</v>
      </c>
      <c r="G250" s="96">
        <v>2401</v>
      </c>
      <c r="H250" s="96">
        <v>0.96168263220000005</v>
      </c>
      <c r="I250" s="96">
        <v>2.45730945E-2</v>
      </c>
      <c r="J250" s="96">
        <v>1.37442732E-2</v>
      </c>
    </row>
    <row r="251" spans="1:10">
      <c r="A251" s="96" t="s">
        <v>26</v>
      </c>
      <c r="B251" s="96" t="s">
        <v>111</v>
      </c>
      <c r="C251" s="96">
        <v>2004</v>
      </c>
      <c r="D251" s="96">
        <v>1</v>
      </c>
      <c r="E251" s="96">
        <v>3211</v>
      </c>
      <c r="F251" s="96">
        <v>3</v>
      </c>
      <c r="G251" s="96">
        <v>3215</v>
      </c>
      <c r="H251" s="96">
        <v>0.99875583199999995</v>
      </c>
      <c r="I251" s="96">
        <v>9.3312600000000005E-4</v>
      </c>
      <c r="J251" s="96">
        <v>3.1104199999999998E-4</v>
      </c>
    </row>
    <row r="252" spans="1:10">
      <c r="A252" s="96" t="s">
        <v>27</v>
      </c>
      <c r="B252" s="96" t="s">
        <v>111</v>
      </c>
      <c r="C252" s="96">
        <v>2004</v>
      </c>
      <c r="D252" s="96">
        <v>140</v>
      </c>
      <c r="E252" s="96">
        <v>3531</v>
      </c>
      <c r="F252" s="96">
        <v>13</v>
      </c>
      <c r="G252" s="96">
        <v>3684</v>
      </c>
      <c r="H252" s="96">
        <v>0.95846905540000005</v>
      </c>
      <c r="I252" s="96">
        <v>3.5287730999999998E-3</v>
      </c>
      <c r="J252" s="96">
        <v>3.8002171600000002E-2</v>
      </c>
    </row>
    <row r="253" spans="1:10">
      <c r="A253" s="96" t="s">
        <v>28</v>
      </c>
      <c r="B253" s="96" t="s">
        <v>111</v>
      </c>
      <c r="C253" s="96">
        <v>2004</v>
      </c>
      <c r="D253" s="96">
        <v>4</v>
      </c>
      <c r="E253" s="96">
        <v>855</v>
      </c>
      <c r="F253" s="96">
        <v>9</v>
      </c>
      <c r="G253" s="96">
        <v>868</v>
      </c>
      <c r="H253" s="96">
        <v>0.98502304149999997</v>
      </c>
      <c r="I253" s="96">
        <v>1.03686636E-2</v>
      </c>
      <c r="J253" s="96">
        <v>4.6082948999999996E-3</v>
      </c>
    </row>
    <row r="254" spans="1:10">
      <c r="A254" s="96" t="s">
        <v>132</v>
      </c>
      <c r="B254" s="96" t="s">
        <v>111</v>
      </c>
      <c r="C254" s="96">
        <v>2004</v>
      </c>
      <c r="D254" s="96">
        <v>1</v>
      </c>
      <c r="E254" s="96">
        <v>2252</v>
      </c>
      <c r="F254" s="96">
        <v>5</v>
      </c>
      <c r="G254" s="96">
        <v>2258</v>
      </c>
      <c r="H254" s="96">
        <v>0.99734278119999997</v>
      </c>
      <c r="I254" s="96">
        <v>2.214349E-3</v>
      </c>
      <c r="J254" s="96">
        <v>4.4286979999999998E-4</v>
      </c>
    </row>
    <row r="255" spans="1:10">
      <c r="A255" s="96" t="s">
        <v>133</v>
      </c>
      <c r="B255" s="96" t="s">
        <v>111</v>
      </c>
      <c r="C255" s="96">
        <v>2004</v>
      </c>
      <c r="D255" s="96">
        <v>1</v>
      </c>
      <c r="E255" s="96">
        <v>341</v>
      </c>
      <c r="F255" s="96">
        <v>14</v>
      </c>
      <c r="G255" s="96">
        <v>356</v>
      </c>
      <c r="H255" s="96">
        <v>0.95786516850000003</v>
      </c>
      <c r="I255" s="96">
        <v>3.9325842700000002E-2</v>
      </c>
      <c r="J255" s="96">
        <v>2.8089887999999999E-3</v>
      </c>
    </row>
    <row r="256" spans="1:10">
      <c r="A256" s="96" t="s">
        <v>112</v>
      </c>
      <c r="B256" s="96" t="s">
        <v>111</v>
      </c>
      <c r="C256" s="96">
        <v>2004</v>
      </c>
      <c r="D256" s="96">
        <v>7</v>
      </c>
      <c r="E256" s="96">
        <v>5401</v>
      </c>
      <c r="F256" s="96">
        <v>36</v>
      </c>
      <c r="G256" s="96">
        <v>5444</v>
      </c>
      <c r="H256" s="96">
        <v>0.99210139600000002</v>
      </c>
      <c r="I256" s="96">
        <v>6.6127846999999998E-3</v>
      </c>
      <c r="J256" s="96">
        <v>1.2858193E-3</v>
      </c>
    </row>
    <row r="257" spans="1:10">
      <c r="A257" s="96" t="s">
        <v>113</v>
      </c>
      <c r="B257" s="96" t="s">
        <v>111</v>
      </c>
      <c r="C257" s="96">
        <v>2004</v>
      </c>
      <c r="D257" s="96">
        <v>9</v>
      </c>
      <c r="E257" s="96">
        <v>3716</v>
      </c>
      <c r="F257" s="96">
        <v>29</v>
      </c>
      <c r="G257" s="96">
        <v>3754</v>
      </c>
      <c r="H257" s="96">
        <v>0.98987746399999998</v>
      </c>
      <c r="I257" s="96">
        <v>7.7250931999999998E-3</v>
      </c>
      <c r="J257" s="96">
        <v>2.3974426999999999E-3</v>
      </c>
    </row>
    <row r="258" spans="1:10">
      <c r="A258" s="96" t="s">
        <v>114</v>
      </c>
      <c r="B258" s="96" t="s">
        <v>111</v>
      </c>
      <c r="C258" s="96">
        <v>2004</v>
      </c>
      <c r="D258" s="96">
        <v>89</v>
      </c>
      <c r="E258" s="96">
        <v>4494</v>
      </c>
      <c r="F258" s="96">
        <v>147</v>
      </c>
      <c r="G258" s="96">
        <v>4730</v>
      </c>
      <c r="H258" s="96">
        <v>0.95010570819999995</v>
      </c>
      <c r="I258" s="96">
        <v>3.1078224099999999E-2</v>
      </c>
      <c r="J258" s="96">
        <v>1.8816067700000001E-2</v>
      </c>
    </row>
    <row r="259" spans="1:10">
      <c r="A259" s="96" t="s">
        <v>115</v>
      </c>
      <c r="B259" s="96" t="s">
        <v>111</v>
      </c>
      <c r="C259" s="96">
        <v>2004</v>
      </c>
      <c r="D259" s="96">
        <v>7</v>
      </c>
      <c r="E259" s="96">
        <v>2548</v>
      </c>
      <c r="F259" s="96">
        <v>10</v>
      </c>
      <c r="G259" s="96">
        <v>2565</v>
      </c>
      <c r="H259" s="96">
        <v>0.99337231969999995</v>
      </c>
      <c r="I259" s="96">
        <v>3.8986354999999999E-3</v>
      </c>
      <c r="J259" s="96">
        <v>2.7290448000000002E-3</v>
      </c>
    </row>
    <row r="260" spans="1:10">
      <c r="A260" s="96" t="s">
        <v>37</v>
      </c>
      <c r="B260" s="96" t="s">
        <v>111</v>
      </c>
      <c r="C260" s="96">
        <v>2004</v>
      </c>
      <c r="D260" s="96">
        <v>32</v>
      </c>
      <c r="E260" s="96">
        <v>3031</v>
      </c>
      <c r="F260" s="96">
        <v>27</v>
      </c>
      <c r="G260" s="96">
        <v>3090</v>
      </c>
      <c r="H260" s="96">
        <v>0.98090614890000005</v>
      </c>
      <c r="I260" s="96">
        <v>8.7378640999999993E-3</v>
      </c>
      <c r="J260" s="96">
        <v>1.03559871E-2</v>
      </c>
    </row>
    <row r="261" spans="1:10">
      <c r="A261" s="96" t="s">
        <v>116</v>
      </c>
      <c r="B261" s="96" t="s">
        <v>111</v>
      </c>
      <c r="C261" s="96">
        <v>2004</v>
      </c>
      <c r="D261" s="96">
        <v>10</v>
      </c>
      <c r="E261" s="96">
        <v>1327</v>
      </c>
      <c r="F261" s="96">
        <v>42</v>
      </c>
      <c r="G261" s="96">
        <v>1379</v>
      </c>
      <c r="H261" s="96">
        <v>0.96229151560000004</v>
      </c>
      <c r="I261" s="96">
        <v>3.04568528E-2</v>
      </c>
      <c r="J261" s="96">
        <v>7.2516315999999999E-3</v>
      </c>
    </row>
    <row r="262" spans="1:10">
      <c r="A262" s="96" t="s">
        <v>117</v>
      </c>
      <c r="B262" s="96" t="s">
        <v>111</v>
      </c>
      <c r="C262" s="96">
        <v>2004</v>
      </c>
      <c r="D262" s="96">
        <v>7</v>
      </c>
      <c r="E262" s="96">
        <v>1019</v>
      </c>
      <c r="F262" s="96">
        <v>7</v>
      </c>
      <c r="G262" s="96">
        <v>1033</v>
      </c>
      <c r="H262" s="96">
        <v>0.98644724100000003</v>
      </c>
      <c r="I262" s="96">
        <v>6.7763794999999996E-3</v>
      </c>
      <c r="J262" s="96">
        <v>6.7763794999999996E-3</v>
      </c>
    </row>
    <row r="263" spans="1:10">
      <c r="A263" s="96" t="s">
        <v>118</v>
      </c>
      <c r="B263" s="96" t="s">
        <v>111</v>
      </c>
      <c r="C263" s="96">
        <v>2004</v>
      </c>
      <c r="D263" s="96">
        <v>70</v>
      </c>
      <c r="E263" s="96">
        <v>7814</v>
      </c>
      <c r="F263" s="96">
        <v>170</v>
      </c>
      <c r="G263" s="96">
        <v>8054</v>
      </c>
      <c r="H263" s="96">
        <v>0.97020114229999999</v>
      </c>
      <c r="I263" s="96">
        <v>2.1107524200000002E-2</v>
      </c>
      <c r="J263" s="96">
        <v>8.6913335000000005E-3</v>
      </c>
    </row>
    <row r="264" spans="1:10">
      <c r="A264" s="96" t="s">
        <v>119</v>
      </c>
      <c r="B264" s="96" t="s">
        <v>111</v>
      </c>
      <c r="C264" s="96">
        <v>2004</v>
      </c>
      <c r="D264" s="96">
        <v>4</v>
      </c>
      <c r="E264" s="96">
        <v>6714</v>
      </c>
      <c r="F264" s="96">
        <v>10</v>
      </c>
      <c r="G264" s="96">
        <v>6728</v>
      </c>
      <c r="H264" s="96">
        <v>0.99791914390000003</v>
      </c>
      <c r="I264" s="96">
        <v>1.4863258E-3</v>
      </c>
      <c r="J264" s="96">
        <v>5.9453030000000001E-4</v>
      </c>
    </row>
    <row r="265" spans="1:10">
      <c r="A265" s="96" t="s">
        <v>120</v>
      </c>
      <c r="B265" s="96" t="s">
        <v>111</v>
      </c>
      <c r="C265" s="96">
        <v>2004</v>
      </c>
      <c r="D265" s="96">
        <v>464</v>
      </c>
      <c r="E265" s="96">
        <v>6258</v>
      </c>
      <c r="F265" s="96">
        <v>174</v>
      </c>
      <c r="G265" s="96">
        <v>6896</v>
      </c>
      <c r="H265" s="96">
        <v>0.90748259860000002</v>
      </c>
      <c r="I265" s="96">
        <v>2.5232018599999999E-2</v>
      </c>
      <c r="J265" s="96">
        <v>6.7285382800000001E-2</v>
      </c>
    </row>
    <row r="266" spans="1:10">
      <c r="A266" s="96" t="s">
        <v>121</v>
      </c>
      <c r="B266" s="96" t="s">
        <v>111</v>
      </c>
      <c r="C266" s="96">
        <v>2004</v>
      </c>
      <c r="D266" s="96">
        <v>672</v>
      </c>
      <c r="E266" s="96">
        <v>6422</v>
      </c>
      <c r="F266" s="96">
        <v>237</v>
      </c>
      <c r="G266" s="96">
        <v>7331</v>
      </c>
      <c r="H266" s="96">
        <v>0.8760060019</v>
      </c>
      <c r="I266" s="96">
        <v>3.23284681E-2</v>
      </c>
      <c r="J266" s="96">
        <v>9.1665529900000001E-2</v>
      </c>
    </row>
    <row r="267" spans="1:10">
      <c r="A267" s="96" t="s">
        <v>122</v>
      </c>
      <c r="B267" s="96" t="s">
        <v>111</v>
      </c>
      <c r="C267" s="96">
        <v>2004</v>
      </c>
      <c r="D267" s="96">
        <v>774</v>
      </c>
      <c r="E267" s="96">
        <v>11443</v>
      </c>
      <c r="F267" s="96">
        <v>160</v>
      </c>
      <c r="G267" s="96">
        <v>12377</v>
      </c>
      <c r="H267" s="96">
        <v>0.92453744849999997</v>
      </c>
      <c r="I267" s="96">
        <v>1.2927203700000001E-2</v>
      </c>
      <c r="J267" s="96">
        <v>6.2535347800000002E-2</v>
      </c>
    </row>
    <row r="268" spans="1:10">
      <c r="A268" s="96" t="s">
        <v>40</v>
      </c>
      <c r="B268" s="96" t="s">
        <v>111</v>
      </c>
      <c r="C268" s="96">
        <v>2004</v>
      </c>
      <c r="D268" s="96">
        <v>22</v>
      </c>
      <c r="E268" s="96">
        <v>2809</v>
      </c>
      <c r="F268" s="96">
        <v>31</v>
      </c>
      <c r="G268" s="96">
        <v>2862</v>
      </c>
      <c r="H268" s="96">
        <v>0.98148148150000003</v>
      </c>
      <c r="I268" s="96">
        <v>1.0831586299999999E-2</v>
      </c>
      <c r="J268" s="96">
        <v>7.6869321999999997E-3</v>
      </c>
    </row>
    <row r="269" spans="1:10">
      <c r="A269" s="96" t="s">
        <v>45</v>
      </c>
      <c r="B269" s="96" t="s">
        <v>111</v>
      </c>
      <c r="C269" s="96">
        <v>2004</v>
      </c>
      <c r="D269" s="96">
        <v>16</v>
      </c>
      <c r="E269" s="96">
        <v>2983</v>
      </c>
      <c r="F269" s="96">
        <v>103</v>
      </c>
      <c r="G269" s="96">
        <v>3102</v>
      </c>
      <c r="H269" s="96">
        <v>0.96163765310000004</v>
      </c>
      <c r="I269" s="96">
        <v>3.3204384300000001E-2</v>
      </c>
      <c r="J269" s="96">
        <v>5.1579625999999996E-3</v>
      </c>
    </row>
    <row r="270" spans="1:10">
      <c r="A270" s="96" t="s">
        <v>123</v>
      </c>
      <c r="B270" s="96" t="s">
        <v>124</v>
      </c>
      <c r="C270" s="96">
        <v>2004</v>
      </c>
      <c r="D270" s="96">
        <v>19</v>
      </c>
      <c r="E270" s="96">
        <v>1469</v>
      </c>
      <c r="F270" s="96">
        <v>108</v>
      </c>
      <c r="G270" s="96">
        <v>1596</v>
      </c>
      <c r="H270" s="96">
        <v>0.92042606520000003</v>
      </c>
      <c r="I270" s="96">
        <v>6.7669172900000005E-2</v>
      </c>
      <c r="J270" s="96">
        <v>1.19047619E-2</v>
      </c>
    </row>
    <row r="271" spans="1:10">
      <c r="A271" s="96" t="s">
        <v>14</v>
      </c>
      <c r="B271" s="96" t="s">
        <v>124</v>
      </c>
      <c r="C271" s="96">
        <v>2004</v>
      </c>
      <c r="D271" s="96">
        <v>178</v>
      </c>
      <c r="E271" s="96">
        <v>2568</v>
      </c>
      <c r="F271" s="96">
        <v>292</v>
      </c>
      <c r="G271" s="96">
        <v>3038</v>
      </c>
      <c r="H271" s="96">
        <v>0.84529295589999998</v>
      </c>
      <c r="I271" s="96">
        <v>9.6115865699999997E-2</v>
      </c>
      <c r="J271" s="96">
        <v>5.8591178399999999E-2</v>
      </c>
    </row>
    <row r="272" spans="1:10">
      <c r="A272" s="96" t="s">
        <v>125</v>
      </c>
      <c r="B272" s="96" t="s">
        <v>124</v>
      </c>
      <c r="C272" s="96">
        <v>2004</v>
      </c>
      <c r="D272" s="96">
        <v>161</v>
      </c>
      <c r="E272" s="96">
        <v>4651</v>
      </c>
      <c r="F272" s="96">
        <v>324</v>
      </c>
      <c r="G272" s="96">
        <v>5136</v>
      </c>
      <c r="H272" s="96">
        <v>0.90556853579999996</v>
      </c>
      <c r="I272" s="96">
        <v>6.3084112100000006E-2</v>
      </c>
      <c r="J272" s="96">
        <v>3.1347352000000002E-2</v>
      </c>
    </row>
    <row r="273" spans="1:10">
      <c r="A273" s="96" t="s">
        <v>126</v>
      </c>
      <c r="B273" s="96" t="s">
        <v>124</v>
      </c>
      <c r="C273" s="96">
        <v>2004</v>
      </c>
      <c r="D273" s="96">
        <v>276</v>
      </c>
      <c r="E273" s="96">
        <v>13688</v>
      </c>
      <c r="F273" s="96">
        <v>775</v>
      </c>
      <c r="G273" s="96">
        <v>14739</v>
      </c>
      <c r="H273" s="96">
        <v>0.92869258430000001</v>
      </c>
      <c r="I273" s="96">
        <v>5.2581586299999997E-2</v>
      </c>
      <c r="J273" s="96">
        <v>1.8725829400000001E-2</v>
      </c>
    </row>
    <row r="274" spans="1:10">
      <c r="A274" s="96" t="s">
        <v>127</v>
      </c>
      <c r="B274" s="96" t="s">
        <v>124</v>
      </c>
      <c r="C274" s="96">
        <v>2004</v>
      </c>
      <c r="D274" s="96">
        <v>105</v>
      </c>
      <c r="E274" s="96">
        <v>3403</v>
      </c>
      <c r="F274" s="96">
        <v>595</v>
      </c>
      <c r="G274" s="96">
        <v>4103</v>
      </c>
      <c r="H274" s="96">
        <v>0.82939312700000001</v>
      </c>
      <c r="I274" s="96">
        <v>0.14501584209999999</v>
      </c>
      <c r="J274" s="96">
        <v>2.5591031E-2</v>
      </c>
    </row>
    <row r="275" spans="1:10">
      <c r="A275" s="96" t="s">
        <v>128</v>
      </c>
      <c r="B275" s="96" t="s">
        <v>124</v>
      </c>
      <c r="C275" s="96">
        <v>2004</v>
      </c>
      <c r="D275" s="96">
        <v>13</v>
      </c>
      <c r="E275" s="96">
        <v>4468</v>
      </c>
      <c r="F275" s="96">
        <v>317</v>
      </c>
      <c r="G275" s="96">
        <v>4798</v>
      </c>
      <c r="H275" s="96">
        <v>0.93122134219999997</v>
      </c>
      <c r="I275" s="96">
        <v>6.6069195499999997E-2</v>
      </c>
      <c r="J275" s="96">
        <v>2.7094622999999998E-3</v>
      </c>
    </row>
    <row r="276" spans="1:10">
      <c r="A276" s="96" t="s">
        <v>129</v>
      </c>
      <c r="B276" s="96" t="s">
        <v>124</v>
      </c>
      <c r="C276" s="96">
        <v>2004</v>
      </c>
      <c r="D276" s="96">
        <v>960</v>
      </c>
      <c r="E276" s="96">
        <v>3225</v>
      </c>
      <c r="F276" s="96">
        <v>857</v>
      </c>
      <c r="G276" s="96">
        <v>5042</v>
      </c>
      <c r="H276" s="96">
        <v>0.6396271321</v>
      </c>
      <c r="I276" s="96">
        <v>0.16997223319999999</v>
      </c>
      <c r="J276" s="96">
        <v>0.19040063469999999</v>
      </c>
    </row>
    <row r="277" spans="1:10">
      <c r="A277" s="96" t="s">
        <v>130</v>
      </c>
      <c r="B277" s="96" t="s">
        <v>124</v>
      </c>
      <c r="C277" s="96">
        <v>2004</v>
      </c>
      <c r="D277" s="96">
        <v>199</v>
      </c>
      <c r="E277" s="96">
        <v>6918</v>
      </c>
      <c r="F277" s="96">
        <v>785</v>
      </c>
      <c r="G277" s="96">
        <v>7902</v>
      </c>
      <c r="H277" s="96">
        <v>0.87547456339999996</v>
      </c>
      <c r="I277" s="96">
        <v>9.9341938699999993E-2</v>
      </c>
      <c r="J277" s="96">
        <v>2.5183497799999999E-2</v>
      </c>
    </row>
    <row r="278" spans="1:10">
      <c r="A278" s="96" t="s">
        <v>19</v>
      </c>
      <c r="B278" s="96" t="s">
        <v>124</v>
      </c>
      <c r="C278" s="96">
        <v>2004</v>
      </c>
      <c r="D278" s="96">
        <v>235</v>
      </c>
      <c r="E278" s="96">
        <v>4257</v>
      </c>
      <c r="F278" s="96">
        <v>1124</v>
      </c>
      <c r="G278" s="96">
        <v>5616</v>
      </c>
      <c r="H278" s="96">
        <v>0.75801282049999996</v>
      </c>
      <c r="I278" s="96">
        <v>0.20014245010000001</v>
      </c>
      <c r="J278" s="96">
        <v>4.1844729300000001E-2</v>
      </c>
    </row>
    <row r="279" spans="1:10">
      <c r="A279" s="96" t="s">
        <v>131</v>
      </c>
      <c r="B279" s="96" t="s">
        <v>124</v>
      </c>
      <c r="C279" s="96">
        <v>2004</v>
      </c>
      <c r="D279" s="96">
        <v>275</v>
      </c>
      <c r="E279" s="96">
        <v>7659</v>
      </c>
      <c r="F279" s="96">
        <v>366</v>
      </c>
      <c r="G279" s="96">
        <v>8300</v>
      </c>
      <c r="H279" s="96">
        <v>0.92277108429999999</v>
      </c>
      <c r="I279" s="96">
        <v>4.4096385500000002E-2</v>
      </c>
      <c r="J279" s="96">
        <v>3.3132530100000002E-2</v>
      </c>
    </row>
    <row r="280" spans="1:10">
      <c r="A280" s="96" t="s">
        <v>20</v>
      </c>
      <c r="B280" s="96" t="s">
        <v>124</v>
      </c>
      <c r="C280" s="96">
        <v>2004</v>
      </c>
      <c r="D280" s="96">
        <v>251</v>
      </c>
      <c r="E280" s="96">
        <v>18248</v>
      </c>
      <c r="F280" s="96">
        <v>2365</v>
      </c>
      <c r="G280" s="96">
        <v>20864</v>
      </c>
      <c r="H280" s="96">
        <v>0.87461656440000002</v>
      </c>
      <c r="I280" s="96">
        <v>0.11335314420000001</v>
      </c>
      <c r="J280" s="96">
        <v>1.20302914E-2</v>
      </c>
    </row>
    <row r="281" spans="1:10">
      <c r="A281" s="96" t="s">
        <v>21</v>
      </c>
      <c r="B281" s="96" t="s">
        <v>124</v>
      </c>
      <c r="C281" s="96">
        <v>2004</v>
      </c>
      <c r="D281" s="96">
        <v>208</v>
      </c>
      <c r="E281" s="96">
        <v>5384</v>
      </c>
      <c r="F281" s="96">
        <v>1505</v>
      </c>
      <c r="G281" s="96">
        <v>7097</v>
      </c>
      <c r="H281" s="96">
        <v>0.75863040719999997</v>
      </c>
      <c r="I281" s="96">
        <v>0.2120614344</v>
      </c>
      <c r="J281" s="96">
        <v>2.9308158399999999E-2</v>
      </c>
    </row>
    <row r="282" spans="1:10">
      <c r="A282" s="96" t="s">
        <v>22</v>
      </c>
      <c r="B282" s="96" t="s">
        <v>124</v>
      </c>
      <c r="C282" s="96">
        <v>2004</v>
      </c>
      <c r="D282" s="96">
        <v>411</v>
      </c>
      <c r="E282" s="96">
        <v>8180</v>
      </c>
      <c r="F282" s="96">
        <v>542</v>
      </c>
      <c r="G282" s="96">
        <v>9133</v>
      </c>
      <c r="H282" s="96">
        <v>0.89565312600000002</v>
      </c>
      <c r="I282" s="96">
        <v>5.9345231599999999E-2</v>
      </c>
      <c r="J282" s="96">
        <v>4.50016424E-2</v>
      </c>
    </row>
    <row r="283" spans="1:10">
      <c r="A283" s="96" t="s">
        <v>25</v>
      </c>
      <c r="B283" s="96" t="s">
        <v>111</v>
      </c>
      <c r="C283" s="96">
        <v>2005</v>
      </c>
      <c r="D283" s="96">
        <v>44</v>
      </c>
      <c r="E283" s="96">
        <v>2265</v>
      </c>
      <c r="F283" s="96">
        <v>66</v>
      </c>
      <c r="G283" s="96">
        <v>2375</v>
      </c>
      <c r="H283" s="96">
        <v>0.95368421049999996</v>
      </c>
      <c r="I283" s="96">
        <v>2.7789473700000001E-2</v>
      </c>
      <c r="J283" s="96">
        <v>1.8526315799999998E-2</v>
      </c>
    </row>
    <row r="284" spans="1:10">
      <c r="A284" s="96" t="s">
        <v>26</v>
      </c>
      <c r="B284" s="96" t="s">
        <v>111</v>
      </c>
      <c r="C284" s="96">
        <v>2005</v>
      </c>
      <c r="D284" s="96">
        <v>3</v>
      </c>
      <c r="E284" s="96">
        <v>3139</v>
      </c>
      <c r="F284" s="96">
        <v>0</v>
      </c>
      <c r="G284" s="96">
        <v>3142</v>
      </c>
      <c r="H284" s="96">
        <v>0.99904519410000003</v>
      </c>
      <c r="I284" s="96">
        <v>0</v>
      </c>
      <c r="J284" s="96">
        <v>9.5480589999999996E-4</v>
      </c>
    </row>
    <row r="285" spans="1:10">
      <c r="A285" s="96" t="s">
        <v>27</v>
      </c>
      <c r="B285" s="96" t="s">
        <v>111</v>
      </c>
      <c r="C285" s="96">
        <v>2005</v>
      </c>
      <c r="D285" s="96">
        <v>140</v>
      </c>
      <c r="E285" s="96">
        <v>3698</v>
      </c>
      <c r="F285" s="96">
        <v>25</v>
      </c>
      <c r="G285" s="96">
        <v>3863</v>
      </c>
      <c r="H285" s="96">
        <v>0.95728708259999995</v>
      </c>
      <c r="I285" s="96">
        <v>6.4716542000000004E-3</v>
      </c>
      <c r="J285" s="96">
        <v>3.62412633E-2</v>
      </c>
    </row>
    <row r="286" spans="1:10">
      <c r="A286" s="96" t="s">
        <v>28</v>
      </c>
      <c r="B286" s="96" t="s">
        <v>111</v>
      </c>
      <c r="C286" s="96">
        <v>2005</v>
      </c>
      <c r="D286" s="96">
        <v>3</v>
      </c>
      <c r="E286" s="96">
        <v>864</v>
      </c>
      <c r="F286" s="96">
        <v>11</v>
      </c>
      <c r="G286" s="96">
        <v>878</v>
      </c>
      <c r="H286" s="96">
        <v>0.9840546697</v>
      </c>
      <c r="I286" s="96">
        <v>1.25284738E-2</v>
      </c>
      <c r="J286" s="96">
        <v>3.4168565E-3</v>
      </c>
    </row>
    <row r="287" spans="1:10">
      <c r="A287" s="96" t="s">
        <v>132</v>
      </c>
      <c r="B287" s="96" t="s">
        <v>111</v>
      </c>
      <c r="C287" s="96">
        <v>2005</v>
      </c>
      <c r="D287" s="96">
        <v>1</v>
      </c>
      <c r="E287" s="96">
        <v>2276</v>
      </c>
      <c r="F287" s="96">
        <v>7</v>
      </c>
      <c r="G287" s="96">
        <v>2284</v>
      </c>
      <c r="H287" s="96">
        <v>0.99649737299999996</v>
      </c>
      <c r="I287" s="96">
        <v>3.0647985999999999E-3</v>
      </c>
      <c r="J287" s="96">
        <v>4.378284E-4</v>
      </c>
    </row>
    <row r="288" spans="1:10">
      <c r="A288" s="96" t="s">
        <v>133</v>
      </c>
      <c r="B288" s="96" t="s">
        <v>111</v>
      </c>
      <c r="C288" s="96">
        <v>2005</v>
      </c>
      <c r="D288" s="96">
        <v>0</v>
      </c>
      <c r="E288" s="96">
        <v>555</v>
      </c>
      <c r="F288" s="96">
        <v>34</v>
      </c>
      <c r="G288" s="96">
        <v>589</v>
      </c>
      <c r="H288" s="96">
        <v>0.94227504240000004</v>
      </c>
      <c r="I288" s="96">
        <v>5.7724957600000001E-2</v>
      </c>
      <c r="J288" s="96">
        <v>0</v>
      </c>
    </row>
    <row r="289" spans="1:10">
      <c r="A289" s="96" t="s">
        <v>112</v>
      </c>
      <c r="B289" s="96" t="s">
        <v>111</v>
      </c>
      <c r="C289" s="96">
        <v>2005</v>
      </c>
      <c r="D289" s="96">
        <v>0</v>
      </c>
      <c r="E289" s="96">
        <v>5350</v>
      </c>
      <c r="F289" s="96">
        <v>35</v>
      </c>
      <c r="G289" s="96">
        <v>5385</v>
      </c>
      <c r="H289" s="96">
        <v>0.99350046430000005</v>
      </c>
      <c r="I289" s="96">
        <v>6.4995356999999997E-3</v>
      </c>
      <c r="J289" s="96">
        <v>0</v>
      </c>
    </row>
    <row r="290" spans="1:10">
      <c r="A290" s="96" t="s">
        <v>113</v>
      </c>
      <c r="B290" s="96" t="s">
        <v>111</v>
      </c>
      <c r="C290" s="96">
        <v>2005</v>
      </c>
      <c r="D290" s="96">
        <v>1</v>
      </c>
      <c r="E290" s="96">
        <v>3696</v>
      </c>
      <c r="F290" s="96">
        <v>30</v>
      </c>
      <c r="G290" s="96">
        <v>3727</v>
      </c>
      <c r="H290" s="96">
        <v>0.99168231819999997</v>
      </c>
      <c r="I290" s="96">
        <v>8.0493695000000004E-3</v>
      </c>
      <c r="J290" s="96">
        <v>2.6831229999999998E-4</v>
      </c>
    </row>
    <row r="291" spans="1:10">
      <c r="A291" s="96" t="s">
        <v>114</v>
      </c>
      <c r="B291" s="96" t="s">
        <v>111</v>
      </c>
      <c r="C291" s="96">
        <v>2005</v>
      </c>
      <c r="D291" s="96">
        <v>1</v>
      </c>
      <c r="E291" s="96">
        <v>4493</v>
      </c>
      <c r="F291" s="96">
        <v>134</v>
      </c>
      <c r="G291" s="96">
        <v>4628</v>
      </c>
      <c r="H291" s="96">
        <v>0.97082973210000001</v>
      </c>
      <c r="I291" s="96">
        <v>2.8954191899999999E-2</v>
      </c>
      <c r="J291" s="96">
        <v>2.160761E-4</v>
      </c>
    </row>
    <row r="292" spans="1:10">
      <c r="A292" s="96" t="s">
        <v>115</v>
      </c>
      <c r="B292" s="96" t="s">
        <v>111</v>
      </c>
      <c r="C292" s="96">
        <v>2005</v>
      </c>
      <c r="D292" s="96">
        <v>5</v>
      </c>
      <c r="E292" s="96">
        <v>2567</v>
      </c>
      <c r="F292" s="96">
        <v>17</v>
      </c>
      <c r="G292" s="96">
        <v>2589</v>
      </c>
      <c r="H292" s="96">
        <v>0.99150251060000005</v>
      </c>
      <c r="I292" s="96">
        <v>6.5662417999999998E-3</v>
      </c>
      <c r="J292" s="96">
        <v>1.9312476000000001E-3</v>
      </c>
    </row>
    <row r="293" spans="1:10">
      <c r="A293" s="96" t="s">
        <v>37</v>
      </c>
      <c r="B293" s="96" t="s">
        <v>111</v>
      </c>
      <c r="C293" s="96">
        <v>2005</v>
      </c>
      <c r="D293" s="96">
        <v>67</v>
      </c>
      <c r="E293" s="96">
        <v>3135</v>
      </c>
      <c r="F293" s="96">
        <v>0</v>
      </c>
      <c r="G293" s="96">
        <v>3202</v>
      </c>
      <c r="H293" s="96">
        <v>0.97907557779999999</v>
      </c>
      <c r="I293" s="96">
        <v>0</v>
      </c>
      <c r="J293" s="96">
        <v>2.0924422200000001E-2</v>
      </c>
    </row>
    <row r="294" spans="1:10">
      <c r="A294" s="96" t="s">
        <v>116</v>
      </c>
      <c r="B294" s="96" t="s">
        <v>111</v>
      </c>
      <c r="C294" s="96">
        <v>2005</v>
      </c>
      <c r="D294" s="96">
        <v>24</v>
      </c>
      <c r="E294" s="96">
        <v>1321</v>
      </c>
      <c r="F294" s="96">
        <v>46</v>
      </c>
      <c r="G294" s="96">
        <v>1391</v>
      </c>
      <c r="H294" s="96">
        <v>0.94967649170000001</v>
      </c>
      <c r="I294" s="96">
        <v>3.3069734000000003E-2</v>
      </c>
      <c r="J294" s="96">
        <v>1.72537743E-2</v>
      </c>
    </row>
    <row r="295" spans="1:10">
      <c r="A295" s="96" t="s">
        <v>117</v>
      </c>
      <c r="B295" s="96" t="s">
        <v>111</v>
      </c>
      <c r="C295" s="96">
        <v>2005</v>
      </c>
      <c r="D295" s="96">
        <v>1</v>
      </c>
      <c r="E295" s="96">
        <v>983</v>
      </c>
      <c r="F295" s="96">
        <v>14</v>
      </c>
      <c r="G295" s="96">
        <v>998</v>
      </c>
      <c r="H295" s="96">
        <v>0.98496993990000004</v>
      </c>
      <c r="I295" s="96">
        <v>1.40280561E-2</v>
      </c>
      <c r="J295" s="96">
        <v>1.0020039999999999E-3</v>
      </c>
    </row>
    <row r="296" spans="1:10">
      <c r="A296" s="96" t="s">
        <v>118</v>
      </c>
      <c r="B296" s="96" t="s">
        <v>111</v>
      </c>
      <c r="C296" s="96">
        <v>2005</v>
      </c>
      <c r="D296" s="96">
        <v>39</v>
      </c>
      <c r="E296" s="96">
        <v>8275</v>
      </c>
      <c r="F296" s="96">
        <v>168</v>
      </c>
      <c r="G296" s="96">
        <v>8482</v>
      </c>
      <c r="H296" s="96">
        <v>0.97559537839999999</v>
      </c>
      <c r="I296" s="96">
        <v>1.9806649400000001E-2</v>
      </c>
      <c r="J296" s="96">
        <v>4.5979721999999997E-3</v>
      </c>
    </row>
    <row r="297" spans="1:10">
      <c r="A297" s="96" t="s">
        <v>119</v>
      </c>
      <c r="B297" s="96" t="s">
        <v>111</v>
      </c>
      <c r="C297" s="96">
        <v>2005</v>
      </c>
      <c r="D297" s="96">
        <v>5</v>
      </c>
      <c r="E297" s="96">
        <v>6791</v>
      </c>
      <c r="F297" s="96">
        <v>11</v>
      </c>
      <c r="G297" s="96">
        <v>6807</v>
      </c>
      <c r="H297" s="96">
        <v>0.99764947849999996</v>
      </c>
      <c r="I297" s="96">
        <v>1.6159835E-3</v>
      </c>
      <c r="J297" s="96">
        <v>7.3453799999999997E-4</v>
      </c>
    </row>
    <row r="298" spans="1:10">
      <c r="A298" s="96" t="s">
        <v>120</v>
      </c>
      <c r="B298" s="96" t="s">
        <v>111</v>
      </c>
      <c r="C298" s="96">
        <v>2005</v>
      </c>
      <c r="D298" s="96">
        <v>314</v>
      </c>
      <c r="E298" s="96">
        <v>6101</v>
      </c>
      <c r="F298" s="96">
        <v>118</v>
      </c>
      <c r="G298" s="96">
        <v>6533</v>
      </c>
      <c r="H298" s="96">
        <v>0.9338741773</v>
      </c>
      <c r="I298" s="96">
        <v>1.8062146000000001E-2</v>
      </c>
      <c r="J298" s="96">
        <v>4.8063676700000002E-2</v>
      </c>
    </row>
    <row r="299" spans="1:10">
      <c r="A299" s="96" t="s">
        <v>121</v>
      </c>
      <c r="B299" s="96" t="s">
        <v>111</v>
      </c>
      <c r="C299" s="96">
        <v>2005</v>
      </c>
      <c r="D299" s="96">
        <v>421</v>
      </c>
      <c r="E299" s="96">
        <v>6746</v>
      </c>
      <c r="F299" s="96">
        <v>273</v>
      </c>
      <c r="G299" s="96">
        <v>7440</v>
      </c>
      <c r="H299" s="96">
        <v>0.90672043010000003</v>
      </c>
      <c r="I299" s="96">
        <v>3.6693548399999998E-2</v>
      </c>
      <c r="J299" s="96">
        <v>5.65860215E-2</v>
      </c>
    </row>
    <row r="300" spans="1:10">
      <c r="A300" s="96" t="s">
        <v>122</v>
      </c>
      <c r="B300" s="96" t="s">
        <v>111</v>
      </c>
      <c r="C300" s="96">
        <v>2005</v>
      </c>
      <c r="D300" s="96">
        <v>617</v>
      </c>
      <c r="E300" s="96">
        <v>11090</v>
      </c>
      <c r="F300" s="96">
        <v>171</v>
      </c>
      <c r="G300" s="96">
        <v>11878</v>
      </c>
      <c r="H300" s="96">
        <v>0.93365886509999996</v>
      </c>
      <c r="I300" s="96">
        <v>1.4396363000000001E-2</v>
      </c>
      <c r="J300" s="96">
        <v>5.1944771799999997E-2</v>
      </c>
    </row>
    <row r="301" spans="1:10">
      <c r="A301" s="96" t="s">
        <v>40</v>
      </c>
      <c r="B301" s="96" t="s">
        <v>111</v>
      </c>
      <c r="C301" s="96">
        <v>2005</v>
      </c>
      <c r="D301" s="96">
        <v>10</v>
      </c>
      <c r="E301" s="96">
        <v>2697</v>
      </c>
      <c r="F301" s="96">
        <v>14</v>
      </c>
      <c r="G301" s="96">
        <v>2721</v>
      </c>
      <c r="H301" s="96">
        <v>0.99117971329999999</v>
      </c>
      <c r="I301" s="96">
        <v>5.1451672E-3</v>
      </c>
      <c r="J301" s="96">
        <v>3.6751193999999998E-3</v>
      </c>
    </row>
    <row r="302" spans="1:10">
      <c r="A302" s="96" t="s">
        <v>45</v>
      </c>
      <c r="B302" s="96" t="s">
        <v>111</v>
      </c>
      <c r="C302" s="96">
        <v>2005</v>
      </c>
      <c r="D302" s="96">
        <v>13</v>
      </c>
      <c r="E302" s="96">
        <v>2590</v>
      </c>
      <c r="F302" s="96">
        <v>102</v>
      </c>
      <c r="G302" s="96">
        <v>2705</v>
      </c>
      <c r="H302" s="96">
        <v>0.95748613680000005</v>
      </c>
      <c r="I302" s="96">
        <v>3.7707948200000001E-2</v>
      </c>
      <c r="J302" s="96">
        <v>4.805915E-3</v>
      </c>
    </row>
    <row r="303" spans="1:10">
      <c r="A303" s="96" t="s">
        <v>123</v>
      </c>
      <c r="B303" s="96" t="s">
        <v>124</v>
      </c>
      <c r="C303" s="96">
        <v>2005</v>
      </c>
      <c r="D303" s="96">
        <v>12</v>
      </c>
      <c r="E303" s="96">
        <v>1511</v>
      </c>
      <c r="F303" s="96">
        <v>134</v>
      </c>
      <c r="G303" s="96">
        <v>1657</v>
      </c>
      <c r="H303" s="96">
        <v>0.91188895589999996</v>
      </c>
      <c r="I303" s="96">
        <v>8.0869040399999995E-2</v>
      </c>
      <c r="J303" s="96">
        <v>7.2420035999999997E-3</v>
      </c>
    </row>
    <row r="304" spans="1:10">
      <c r="A304" s="96" t="s">
        <v>14</v>
      </c>
      <c r="B304" s="96" t="s">
        <v>124</v>
      </c>
      <c r="C304" s="96">
        <v>2005</v>
      </c>
      <c r="D304" s="96">
        <v>163</v>
      </c>
      <c r="E304" s="96">
        <v>2102</v>
      </c>
      <c r="F304" s="96">
        <v>306</v>
      </c>
      <c r="G304" s="96">
        <v>2571</v>
      </c>
      <c r="H304" s="96">
        <v>0.81758070790000004</v>
      </c>
      <c r="I304" s="96">
        <v>0.1190198366</v>
      </c>
      <c r="J304" s="96">
        <v>6.3399455499999993E-2</v>
      </c>
    </row>
    <row r="305" spans="1:10">
      <c r="A305" s="96" t="s">
        <v>125</v>
      </c>
      <c r="B305" s="96" t="s">
        <v>124</v>
      </c>
      <c r="C305" s="96">
        <v>2005</v>
      </c>
      <c r="D305" s="96">
        <v>114</v>
      </c>
      <c r="E305" s="96">
        <v>4775</v>
      </c>
      <c r="F305" s="96">
        <v>402</v>
      </c>
      <c r="G305" s="96">
        <v>5291</v>
      </c>
      <c r="H305" s="96">
        <v>0.90247590249999998</v>
      </c>
      <c r="I305" s="96">
        <v>7.5978076000000005E-2</v>
      </c>
      <c r="J305" s="96">
        <v>2.1546021499999998E-2</v>
      </c>
    </row>
    <row r="306" spans="1:10">
      <c r="A306" s="96" t="s">
        <v>126</v>
      </c>
      <c r="B306" s="96" t="s">
        <v>124</v>
      </c>
      <c r="C306" s="96">
        <v>2005</v>
      </c>
      <c r="D306" s="96">
        <v>286</v>
      </c>
      <c r="E306" s="96">
        <v>13584</v>
      </c>
      <c r="F306" s="96">
        <v>739</v>
      </c>
      <c r="G306" s="96">
        <v>14609</v>
      </c>
      <c r="H306" s="96">
        <v>0.9298377712</v>
      </c>
      <c r="I306" s="96">
        <v>5.0585255699999998E-2</v>
      </c>
      <c r="J306" s="96">
        <v>1.9576973099999999E-2</v>
      </c>
    </row>
    <row r="307" spans="1:10">
      <c r="A307" s="96" t="s">
        <v>127</v>
      </c>
      <c r="B307" s="96" t="s">
        <v>124</v>
      </c>
      <c r="C307" s="96">
        <v>2005</v>
      </c>
      <c r="D307" s="96">
        <v>84</v>
      </c>
      <c r="E307" s="96">
        <v>3578</v>
      </c>
      <c r="F307" s="96">
        <v>628</v>
      </c>
      <c r="G307" s="96">
        <v>4290</v>
      </c>
      <c r="H307" s="96">
        <v>0.83403263400000005</v>
      </c>
      <c r="I307" s="96">
        <v>0.1463869464</v>
      </c>
      <c r="J307" s="96">
        <v>1.9580419599999999E-2</v>
      </c>
    </row>
    <row r="308" spans="1:10">
      <c r="A308" s="96" t="s">
        <v>128</v>
      </c>
      <c r="B308" s="96" t="s">
        <v>124</v>
      </c>
      <c r="C308" s="96">
        <v>2005</v>
      </c>
      <c r="D308" s="96">
        <v>50</v>
      </c>
      <c r="E308" s="96">
        <v>4517</v>
      </c>
      <c r="F308" s="96">
        <v>323</v>
      </c>
      <c r="G308" s="96">
        <v>4890</v>
      </c>
      <c r="H308" s="96">
        <v>0.9237218814</v>
      </c>
      <c r="I308" s="96">
        <v>6.6053169699999997E-2</v>
      </c>
      <c r="J308" s="96">
        <v>1.0224948899999999E-2</v>
      </c>
    </row>
    <row r="309" spans="1:10">
      <c r="A309" s="96" t="s">
        <v>129</v>
      </c>
      <c r="B309" s="96" t="s">
        <v>124</v>
      </c>
      <c r="C309" s="96">
        <v>2005</v>
      </c>
      <c r="D309" s="96">
        <v>1283</v>
      </c>
      <c r="E309" s="96">
        <v>2956</v>
      </c>
      <c r="F309" s="96">
        <v>835</v>
      </c>
      <c r="G309" s="96">
        <v>5074</v>
      </c>
      <c r="H309" s="96">
        <v>0.5825778479</v>
      </c>
      <c r="I309" s="96">
        <v>0.16456444619999999</v>
      </c>
      <c r="J309" s="96">
        <v>0.25285770600000002</v>
      </c>
    </row>
    <row r="310" spans="1:10">
      <c r="A310" s="96" t="s">
        <v>130</v>
      </c>
      <c r="B310" s="96" t="s">
        <v>124</v>
      </c>
      <c r="C310" s="96">
        <v>2005</v>
      </c>
      <c r="D310" s="96">
        <v>192</v>
      </c>
      <c r="E310" s="96">
        <v>7388</v>
      </c>
      <c r="F310" s="96">
        <v>804</v>
      </c>
      <c r="G310" s="96">
        <v>8384</v>
      </c>
      <c r="H310" s="96">
        <v>0.88120229009999995</v>
      </c>
      <c r="I310" s="96">
        <v>9.5896946600000005E-2</v>
      </c>
      <c r="J310" s="96">
        <v>2.2900763399999999E-2</v>
      </c>
    </row>
    <row r="311" spans="1:10">
      <c r="A311" s="96" t="s">
        <v>19</v>
      </c>
      <c r="B311" s="96" t="s">
        <v>124</v>
      </c>
      <c r="C311" s="96">
        <v>2005</v>
      </c>
      <c r="D311" s="96">
        <v>216</v>
      </c>
      <c r="E311" s="96">
        <v>4243</v>
      </c>
      <c r="F311" s="96">
        <v>1107</v>
      </c>
      <c r="G311" s="96">
        <v>5566</v>
      </c>
      <c r="H311" s="96">
        <v>0.76230686309999995</v>
      </c>
      <c r="I311" s="96">
        <v>0.19888609409999999</v>
      </c>
      <c r="J311" s="96">
        <v>3.8807042799999997E-2</v>
      </c>
    </row>
    <row r="312" spans="1:10">
      <c r="A312" s="96" t="s">
        <v>131</v>
      </c>
      <c r="B312" s="96" t="s">
        <v>124</v>
      </c>
      <c r="C312" s="96">
        <v>2005</v>
      </c>
      <c r="D312" s="96">
        <v>245</v>
      </c>
      <c r="E312" s="96">
        <v>7705</v>
      </c>
      <c r="F312" s="96">
        <v>423</v>
      </c>
      <c r="G312" s="96">
        <v>8373</v>
      </c>
      <c r="H312" s="96">
        <v>0.920219754</v>
      </c>
      <c r="I312" s="96">
        <v>5.0519527100000003E-2</v>
      </c>
      <c r="J312" s="96">
        <v>2.9260719000000001E-2</v>
      </c>
    </row>
    <row r="313" spans="1:10">
      <c r="A313" s="96" t="s">
        <v>20</v>
      </c>
      <c r="B313" s="96" t="s">
        <v>124</v>
      </c>
      <c r="C313" s="96">
        <v>2005</v>
      </c>
      <c r="D313" s="96">
        <v>226</v>
      </c>
      <c r="E313" s="96">
        <v>18592</v>
      </c>
      <c r="F313" s="96">
        <v>2492</v>
      </c>
      <c r="G313" s="96">
        <v>21310</v>
      </c>
      <c r="H313" s="96">
        <v>0.87245424680000006</v>
      </c>
      <c r="I313" s="96">
        <v>0.11694040360000001</v>
      </c>
      <c r="J313" s="96">
        <v>1.0605349599999999E-2</v>
      </c>
    </row>
    <row r="314" spans="1:10">
      <c r="A314" s="96" t="s">
        <v>21</v>
      </c>
      <c r="B314" s="96" t="s">
        <v>124</v>
      </c>
      <c r="C314" s="96">
        <v>2005</v>
      </c>
      <c r="D314" s="96">
        <v>184</v>
      </c>
      <c r="E314" s="96">
        <v>5580</v>
      </c>
      <c r="F314" s="96">
        <v>1564</v>
      </c>
      <c r="G314" s="96">
        <v>7328</v>
      </c>
      <c r="H314" s="96">
        <v>0.76146288210000002</v>
      </c>
      <c r="I314" s="96">
        <v>0.2134279476</v>
      </c>
      <c r="J314" s="96">
        <v>2.5109170300000001E-2</v>
      </c>
    </row>
    <row r="315" spans="1:10">
      <c r="A315" s="96" t="s">
        <v>22</v>
      </c>
      <c r="B315" s="96" t="s">
        <v>124</v>
      </c>
      <c r="C315" s="96">
        <v>2005</v>
      </c>
      <c r="D315" s="96">
        <v>417</v>
      </c>
      <c r="E315" s="96">
        <v>8386</v>
      </c>
      <c r="F315" s="96">
        <v>589</v>
      </c>
      <c r="G315" s="96">
        <v>9392</v>
      </c>
      <c r="H315" s="96">
        <v>0.89288756390000001</v>
      </c>
      <c r="I315" s="96">
        <v>6.2712947199999994E-2</v>
      </c>
      <c r="J315" s="96">
        <v>4.4399488899999999E-2</v>
      </c>
    </row>
    <row r="316" spans="1:10">
      <c r="A316" s="96" t="s">
        <v>25</v>
      </c>
      <c r="B316" s="96" t="s">
        <v>111</v>
      </c>
      <c r="C316" s="96">
        <v>2006</v>
      </c>
      <c r="D316" s="96">
        <v>46</v>
      </c>
      <c r="E316" s="96">
        <v>2385</v>
      </c>
      <c r="F316" s="96">
        <v>77</v>
      </c>
      <c r="G316" s="96">
        <v>2508</v>
      </c>
      <c r="H316" s="96">
        <v>0.95095693780000001</v>
      </c>
      <c r="I316" s="96">
        <v>3.07017544E-2</v>
      </c>
      <c r="J316" s="96">
        <v>1.8341307800000001E-2</v>
      </c>
    </row>
    <row r="317" spans="1:10">
      <c r="A317" s="96" t="s">
        <v>26</v>
      </c>
      <c r="B317" s="96" t="s">
        <v>111</v>
      </c>
      <c r="C317" s="96">
        <v>2006</v>
      </c>
      <c r="D317" s="96">
        <v>5</v>
      </c>
      <c r="E317" s="96">
        <v>2789</v>
      </c>
      <c r="F317" s="96">
        <v>1</v>
      </c>
      <c r="G317" s="96">
        <v>2795</v>
      </c>
      <c r="H317" s="96">
        <v>0.99785330949999995</v>
      </c>
      <c r="I317" s="96">
        <v>3.577818E-4</v>
      </c>
      <c r="J317" s="96">
        <v>1.7889087999999999E-3</v>
      </c>
    </row>
    <row r="318" spans="1:10">
      <c r="A318" s="96" t="s">
        <v>27</v>
      </c>
      <c r="B318" s="96" t="s">
        <v>111</v>
      </c>
      <c r="C318" s="96">
        <v>2006</v>
      </c>
      <c r="D318" s="96">
        <v>121</v>
      </c>
      <c r="E318" s="96">
        <v>3756</v>
      </c>
      <c r="F318" s="96">
        <v>23</v>
      </c>
      <c r="G318" s="96">
        <v>3900</v>
      </c>
      <c r="H318" s="96">
        <v>0.96307692310000004</v>
      </c>
      <c r="I318" s="96">
        <v>5.8974359000000002E-3</v>
      </c>
      <c r="J318" s="96">
        <v>3.1025641E-2</v>
      </c>
    </row>
    <row r="319" spans="1:10">
      <c r="A319" s="96" t="s">
        <v>28</v>
      </c>
      <c r="B319" s="96" t="s">
        <v>111</v>
      </c>
      <c r="C319" s="96">
        <v>2006</v>
      </c>
      <c r="D319" s="96">
        <v>1</v>
      </c>
      <c r="E319" s="96">
        <v>869</v>
      </c>
      <c r="F319" s="96">
        <v>7</v>
      </c>
      <c r="G319" s="96">
        <v>877</v>
      </c>
      <c r="H319" s="96">
        <v>0.99087799320000003</v>
      </c>
      <c r="I319" s="96">
        <v>7.9817559999999996E-3</v>
      </c>
      <c r="J319" s="96">
        <v>1.1402509000000001E-3</v>
      </c>
    </row>
    <row r="320" spans="1:10">
      <c r="A320" s="96" t="s">
        <v>132</v>
      </c>
      <c r="B320" s="96" t="s">
        <v>111</v>
      </c>
      <c r="C320" s="96">
        <v>2006</v>
      </c>
      <c r="D320" s="96">
        <v>0</v>
      </c>
      <c r="E320" s="96">
        <v>2452</v>
      </c>
      <c r="F320" s="96">
        <v>4</v>
      </c>
      <c r="G320" s="96">
        <v>2456</v>
      </c>
      <c r="H320" s="96">
        <v>0.99837133550000001</v>
      </c>
      <c r="I320" s="96">
        <v>1.6286645000000001E-3</v>
      </c>
      <c r="J320" s="96">
        <v>0</v>
      </c>
    </row>
    <row r="321" spans="1:10">
      <c r="A321" s="96" t="s">
        <v>133</v>
      </c>
      <c r="B321" s="96" t="s">
        <v>111</v>
      </c>
      <c r="C321" s="96">
        <v>2006</v>
      </c>
      <c r="D321" s="96">
        <v>0</v>
      </c>
      <c r="E321" s="96">
        <v>568</v>
      </c>
      <c r="F321" s="96">
        <v>35</v>
      </c>
      <c r="G321" s="96">
        <v>603</v>
      </c>
      <c r="H321" s="96">
        <v>0.94195688229999996</v>
      </c>
      <c r="I321" s="96">
        <v>5.8043117700000001E-2</v>
      </c>
      <c r="J321" s="96">
        <v>0</v>
      </c>
    </row>
    <row r="322" spans="1:10">
      <c r="A322" s="96" t="s">
        <v>112</v>
      </c>
      <c r="B322" s="96" t="s">
        <v>111</v>
      </c>
      <c r="C322" s="96">
        <v>2006</v>
      </c>
      <c r="D322" s="96">
        <v>1</v>
      </c>
      <c r="E322" s="96">
        <v>5155</v>
      </c>
      <c r="F322" s="96">
        <v>42</v>
      </c>
      <c r="G322" s="96">
        <v>5198</v>
      </c>
      <c r="H322" s="96">
        <v>0.99172758750000001</v>
      </c>
      <c r="I322" s="96">
        <v>8.0800308000000005E-3</v>
      </c>
      <c r="J322" s="96">
        <v>1.9238170000000001E-4</v>
      </c>
    </row>
    <row r="323" spans="1:10">
      <c r="A323" s="96" t="s">
        <v>113</v>
      </c>
      <c r="B323" s="96" t="s">
        <v>111</v>
      </c>
      <c r="C323" s="96">
        <v>2006</v>
      </c>
      <c r="D323" s="96">
        <v>0</v>
      </c>
      <c r="E323" s="96">
        <v>3688</v>
      </c>
      <c r="F323" s="96">
        <v>26</v>
      </c>
      <c r="G323" s="96">
        <v>3714</v>
      </c>
      <c r="H323" s="96">
        <v>0.99299946149999996</v>
      </c>
      <c r="I323" s="96">
        <v>7.0005385000000003E-3</v>
      </c>
      <c r="J323" s="96">
        <v>0</v>
      </c>
    </row>
    <row r="324" spans="1:10">
      <c r="A324" s="96" t="s">
        <v>114</v>
      </c>
      <c r="B324" s="96" t="s">
        <v>111</v>
      </c>
      <c r="C324" s="96">
        <v>2006</v>
      </c>
      <c r="D324" s="96">
        <v>0</v>
      </c>
      <c r="E324" s="96">
        <v>4512</v>
      </c>
      <c r="F324" s="96">
        <v>132</v>
      </c>
      <c r="G324" s="96">
        <v>4644</v>
      </c>
      <c r="H324" s="96">
        <v>0.97157622740000005</v>
      </c>
      <c r="I324" s="96">
        <v>2.8423772600000001E-2</v>
      </c>
      <c r="J324" s="96">
        <v>0</v>
      </c>
    </row>
    <row r="325" spans="1:10">
      <c r="A325" s="96" t="s">
        <v>115</v>
      </c>
      <c r="B325" s="96" t="s">
        <v>111</v>
      </c>
      <c r="C325" s="96">
        <v>2006</v>
      </c>
      <c r="D325" s="96">
        <v>9</v>
      </c>
      <c r="E325" s="96">
        <v>2550</v>
      </c>
      <c r="F325" s="96">
        <v>16</v>
      </c>
      <c r="G325" s="96">
        <v>2575</v>
      </c>
      <c r="H325" s="96">
        <v>0.99029126209999996</v>
      </c>
      <c r="I325" s="96">
        <v>6.2135921999999996E-3</v>
      </c>
      <c r="J325" s="96">
        <v>3.4951456000000001E-3</v>
      </c>
    </row>
    <row r="326" spans="1:10">
      <c r="A326" s="96" t="s">
        <v>37</v>
      </c>
      <c r="B326" s="96" t="s">
        <v>111</v>
      </c>
      <c r="C326" s="96">
        <v>2006</v>
      </c>
      <c r="D326" s="96">
        <v>89</v>
      </c>
      <c r="E326" s="96">
        <v>3133</v>
      </c>
      <c r="F326" s="96">
        <v>0</v>
      </c>
      <c r="G326" s="96">
        <v>3222</v>
      </c>
      <c r="H326" s="96">
        <v>0.97237740530000005</v>
      </c>
      <c r="I326" s="96">
        <v>0</v>
      </c>
      <c r="J326" s="96">
        <v>2.7622594699999999E-2</v>
      </c>
    </row>
    <row r="327" spans="1:10">
      <c r="A327" s="96" t="s">
        <v>116</v>
      </c>
      <c r="B327" s="96" t="s">
        <v>111</v>
      </c>
      <c r="C327" s="96">
        <v>2006</v>
      </c>
      <c r="D327" s="96">
        <v>31</v>
      </c>
      <c r="E327" s="96">
        <v>1207</v>
      </c>
      <c r="F327" s="96">
        <v>57</v>
      </c>
      <c r="G327" s="96">
        <v>1295</v>
      </c>
      <c r="H327" s="96">
        <v>0.93204633199999998</v>
      </c>
      <c r="I327" s="96">
        <v>4.4015444000000001E-2</v>
      </c>
      <c r="J327" s="96">
        <v>2.39382239E-2</v>
      </c>
    </row>
    <row r="328" spans="1:10">
      <c r="A328" s="96" t="s">
        <v>117</v>
      </c>
      <c r="B328" s="96" t="s">
        <v>111</v>
      </c>
      <c r="C328" s="96">
        <v>2006</v>
      </c>
      <c r="D328" s="96">
        <v>1041</v>
      </c>
      <c r="E328" s="96"/>
      <c r="F328" s="96"/>
      <c r="G328" s="96">
        <v>1041</v>
      </c>
      <c r="H328" s="96"/>
      <c r="I328" s="96"/>
      <c r="J328" s="96">
        <v>1</v>
      </c>
    </row>
    <row r="329" spans="1:10">
      <c r="A329" s="96" t="s">
        <v>118</v>
      </c>
      <c r="B329" s="96" t="s">
        <v>111</v>
      </c>
      <c r="C329" s="96">
        <v>2006</v>
      </c>
      <c r="D329" s="96">
        <v>39</v>
      </c>
      <c r="E329" s="96">
        <v>8706</v>
      </c>
      <c r="F329" s="96">
        <v>192</v>
      </c>
      <c r="G329" s="96">
        <v>8937</v>
      </c>
      <c r="H329" s="96">
        <v>0.97415240010000004</v>
      </c>
      <c r="I329" s="96">
        <v>2.14837194E-2</v>
      </c>
      <c r="J329" s="96">
        <v>4.3638805000000003E-3</v>
      </c>
    </row>
    <row r="330" spans="1:10">
      <c r="A330" s="96" t="s">
        <v>119</v>
      </c>
      <c r="B330" s="96" t="s">
        <v>111</v>
      </c>
      <c r="C330" s="96">
        <v>2006</v>
      </c>
      <c r="D330" s="96">
        <v>3</v>
      </c>
      <c r="E330" s="96">
        <v>6832</v>
      </c>
      <c r="F330" s="96">
        <v>10</v>
      </c>
      <c r="G330" s="96">
        <v>6845</v>
      </c>
      <c r="H330" s="96">
        <v>0.99810080349999997</v>
      </c>
      <c r="I330" s="96">
        <v>1.4609204E-3</v>
      </c>
      <c r="J330" s="96">
        <v>4.3827610000000001E-4</v>
      </c>
    </row>
    <row r="331" spans="1:10">
      <c r="A331" s="96" t="s">
        <v>120</v>
      </c>
      <c r="B331" s="96" t="s">
        <v>111</v>
      </c>
      <c r="C331" s="96">
        <v>2006</v>
      </c>
      <c r="D331" s="96">
        <v>368</v>
      </c>
      <c r="E331" s="96">
        <v>5826</v>
      </c>
      <c r="F331" s="96">
        <v>138</v>
      </c>
      <c r="G331" s="96">
        <v>6332</v>
      </c>
      <c r="H331" s="96">
        <v>0.92008843969999998</v>
      </c>
      <c r="I331" s="96">
        <v>2.1794061900000002E-2</v>
      </c>
      <c r="J331" s="96">
        <v>5.8117498400000002E-2</v>
      </c>
    </row>
    <row r="332" spans="1:10">
      <c r="A332" s="96" t="s">
        <v>121</v>
      </c>
      <c r="B332" s="96" t="s">
        <v>111</v>
      </c>
      <c r="C332" s="96">
        <v>2006</v>
      </c>
      <c r="D332" s="96">
        <v>598</v>
      </c>
      <c r="E332" s="96">
        <v>6643</v>
      </c>
      <c r="F332" s="96">
        <v>301</v>
      </c>
      <c r="G332" s="96">
        <v>7542</v>
      </c>
      <c r="H332" s="96">
        <v>0.88080084859999996</v>
      </c>
      <c r="I332" s="96">
        <v>3.9909838199999999E-2</v>
      </c>
      <c r="J332" s="96">
        <v>7.9289313200000003E-2</v>
      </c>
    </row>
    <row r="333" spans="1:10">
      <c r="A333" s="96" t="s">
        <v>122</v>
      </c>
      <c r="B333" s="96" t="s">
        <v>111</v>
      </c>
      <c r="C333" s="96">
        <v>2006</v>
      </c>
      <c r="D333" s="96">
        <v>604</v>
      </c>
      <c r="E333" s="96">
        <v>10363</v>
      </c>
      <c r="F333" s="96">
        <v>177</v>
      </c>
      <c r="G333" s="96">
        <v>11144</v>
      </c>
      <c r="H333" s="96">
        <v>0.92991744440000002</v>
      </c>
      <c r="I333" s="96">
        <v>1.58829864E-2</v>
      </c>
      <c r="J333" s="96">
        <v>5.41995693E-2</v>
      </c>
    </row>
    <row r="334" spans="1:10">
      <c r="A334" s="96" t="s">
        <v>40</v>
      </c>
      <c r="B334" s="96" t="s">
        <v>111</v>
      </c>
      <c r="C334" s="96">
        <v>2006</v>
      </c>
      <c r="D334" s="96">
        <v>30</v>
      </c>
      <c r="E334" s="96">
        <v>2858</v>
      </c>
      <c r="F334" s="96">
        <v>21</v>
      </c>
      <c r="G334" s="96">
        <v>2909</v>
      </c>
      <c r="H334" s="96">
        <v>0.98246820209999997</v>
      </c>
      <c r="I334" s="96">
        <v>7.2189756000000001E-3</v>
      </c>
      <c r="J334" s="96">
        <v>1.03128223E-2</v>
      </c>
    </row>
    <row r="335" spans="1:10">
      <c r="A335" s="96" t="s">
        <v>45</v>
      </c>
      <c r="B335" s="96" t="s">
        <v>111</v>
      </c>
      <c r="C335" s="96">
        <v>2006</v>
      </c>
      <c r="D335" s="96">
        <v>15</v>
      </c>
      <c r="E335" s="96">
        <v>2602</v>
      </c>
      <c r="F335" s="96">
        <v>92</v>
      </c>
      <c r="G335" s="96">
        <v>2709</v>
      </c>
      <c r="H335" s="96">
        <v>0.96050203030000003</v>
      </c>
      <c r="I335" s="96">
        <v>3.3960871199999999E-2</v>
      </c>
      <c r="J335" s="96">
        <v>5.5370986000000001E-3</v>
      </c>
    </row>
    <row r="336" spans="1:10">
      <c r="A336" s="96" t="s">
        <v>123</v>
      </c>
      <c r="B336" s="96" t="s">
        <v>124</v>
      </c>
      <c r="C336" s="96">
        <v>2006</v>
      </c>
      <c r="D336" s="96">
        <v>179</v>
      </c>
      <c r="E336" s="96">
        <v>1680</v>
      </c>
      <c r="F336" s="96">
        <v>0</v>
      </c>
      <c r="G336" s="96">
        <v>1859</v>
      </c>
      <c r="H336" s="96">
        <v>0.90371167289999998</v>
      </c>
      <c r="I336" s="96">
        <v>0</v>
      </c>
      <c r="J336" s="96">
        <v>9.6288327100000001E-2</v>
      </c>
    </row>
    <row r="337" spans="1:10">
      <c r="A337" s="96" t="s">
        <v>14</v>
      </c>
      <c r="B337" s="96" t="s">
        <v>124</v>
      </c>
      <c r="C337" s="96">
        <v>2006</v>
      </c>
      <c r="D337" s="96">
        <v>161</v>
      </c>
      <c r="E337" s="96">
        <v>2064</v>
      </c>
      <c r="F337" s="96">
        <v>274</v>
      </c>
      <c r="G337" s="96">
        <v>2499</v>
      </c>
      <c r="H337" s="96">
        <v>0.82593037209999998</v>
      </c>
      <c r="I337" s="96">
        <v>0.1096438575</v>
      </c>
      <c r="J337" s="96">
        <v>6.4425770300000004E-2</v>
      </c>
    </row>
    <row r="338" spans="1:10">
      <c r="A338" s="96" t="s">
        <v>125</v>
      </c>
      <c r="B338" s="96" t="s">
        <v>124</v>
      </c>
      <c r="C338" s="96">
        <v>2006</v>
      </c>
      <c r="D338" s="96">
        <v>110</v>
      </c>
      <c r="E338" s="96">
        <v>4972</v>
      </c>
      <c r="F338" s="96">
        <v>459</v>
      </c>
      <c r="G338" s="96">
        <v>5541</v>
      </c>
      <c r="H338" s="96">
        <v>0.8973109547</v>
      </c>
      <c r="I338" s="96">
        <v>8.2837033000000004E-2</v>
      </c>
      <c r="J338" s="96">
        <v>1.9852012299999999E-2</v>
      </c>
    </row>
    <row r="339" spans="1:10">
      <c r="A339" s="96" t="s">
        <v>126</v>
      </c>
      <c r="B339" s="96" t="s">
        <v>124</v>
      </c>
      <c r="C339" s="96">
        <v>2006</v>
      </c>
      <c r="D339" s="96">
        <v>259</v>
      </c>
      <c r="E339" s="96">
        <v>13716</v>
      </c>
      <c r="F339" s="96">
        <v>715</v>
      </c>
      <c r="G339" s="96">
        <v>14690</v>
      </c>
      <c r="H339" s="96">
        <v>0.93369639209999999</v>
      </c>
      <c r="I339" s="96">
        <v>4.8672566399999999E-2</v>
      </c>
      <c r="J339" s="96">
        <v>1.76310415E-2</v>
      </c>
    </row>
    <row r="340" spans="1:10">
      <c r="A340" s="96" t="s">
        <v>127</v>
      </c>
      <c r="B340" s="96" t="s">
        <v>124</v>
      </c>
      <c r="C340" s="96">
        <v>2006</v>
      </c>
      <c r="D340" s="96">
        <v>100</v>
      </c>
      <c r="E340" s="96">
        <v>3767</v>
      </c>
      <c r="F340" s="96">
        <v>640</v>
      </c>
      <c r="G340" s="96">
        <v>4507</v>
      </c>
      <c r="H340" s="96">
        <v>0.83581096070000005</v>
      </c>
      <c r="I340" s="96">
        <v>0.14200133130000001</v>
      </c>
      <c r="J340" s="96">
        <v>2.2187708E-2</v>
      </c>
    </row>
    <row r="341" spans="1:10">
      <c r="A341" s="96" t="s">
        <v>128</v>
      </c>
      <c r="B341" s="96" t="s">
        <v>124</v>
      </c>
      <c r="C341" s="96">
        <v>2006</v>
      </c>
      <c r="D341" s="96">
        <v>13</v>
      </c>
      <c r="E341" s="96">
        <v>4472</v>
      </c>
      <c r="F341" s="96">
        <v>312</v>
      </c>
      <c r="G341" s="96">
        <v>4797</v>
      </c>
      <c r="H341" s="96">
        <v>0.93224932250000003</v>
      </c>
      <c r="I341" s="96">
        <v>6.5040650399999997E-2</v>
      </c>
      <c r="J341" s="96">
        <v>2.7100270999999999E-3</v>
      </c>
    </row>
    <row r="342" spans="1:10">
      <c r="A342" s="96" t="s">
        <v>129</v>
      </c>
      <c r="B342" s="96" t="s">
        <v>124</v>
      </c>
      <c r="C342" s="96">
        <v>2006</v>
      </c>
      <c r="D342" s="96">
        <v>100</v>
      </c>
      <c r="E342" s="96">
        <v>4077</v>
      </c>
      <c r="F342" s="96">
        <v>867</v>
      </c>
      <c r="G342" s="96">
        <v>5044</v>
      </c>
      <c r="H342" s="96">
        <v>0.80828707379999998</v>
      </c>
      <c r="I342" s="96">
        <v>0.171887391</v>
      </c>
      <c r="J342" s="96">
        <v>1.9825535299999999E-2</v>
      </c>
    </row>
    <row r="343" spans="1:10">
      <c r="A343" s="96" t="s">
        <v>130</v>
      </c>
      <c r="B343" s="96" t="s">
        <v>124</v>
      </c>
      <c r="C343" s="96">
        <v>2006</v>
      </c>
      <c r="D343" s="96">
        <v>251</v>
      </c>
      <c r="E343" s="96">
        <v>7167</v>
      </c>
      <c r="F343" s="96">
        <v>822</v>
      </c>
      <c r="G343" s="96">
        <v>8240</v>
      </c>
      <c r="H343" s="96">
        <v>0.86978155339999996</v>
      </c>
      <c r="I343" s="96">
        <v>9.9757281599999997E-2</v>
      </c>
      <c r="J343" s="96">
        <v>3.0461164999999998E-2</v>
      </c>
    </row>
    <row r="344" spans="1:10">
      <c r="A344" s="96" t="s">
        <v>19</v>
      </c>
      <c r="B344" s="96" t="s">
        <v>124</v>
      </c>
      <c r="C344" s="96">
        <v>2006</v>
      </c>
      <c r="D344" s="96">
        <v>210</v>
      </c>
      <c r="E344" s="96">
        <v>4287</v>
      </c>
      <c r="F344" s="96">
        <v>1028</v>
      </c>
      <c r="G344" s="96">
        <v>5525</v>
      </c>
      <c r="H344" s="96">
        <v>0.77592760179999998</v>
      </c>
      <c r="I344" s="96">
        <v>0.18606334839999999</v>
      </c>
      <c r="J344" s="96">
        <v>3.80090498E-2</v>
      </c>
    </row>
    <row r="345" spans="1:10">
      <c r="A345" s="96" t="s">
        <v>131</v>
      </c>
      <c r="B345" s="96" t="s">
        <v>124</v>
      </c>
      <c r="C345" s="96">
        <v>2006</v>
      </c>
      <c r="D345" s="96">
        <v>265</v>
      </c>
      <c r="E345" s="96">
        <v>7767</v>
      </c>
      <c r="F345" s="96">
        <v>450</v>
      </c>
      <c r="G345" s="96">
        <v>8482</v>
      </c>
      <c r="H345" s="96">
        <v>0.91570384339999999</v>
      </c>
      <c r="I345" s="96">
        <v>5.3053525099999999E-2</v>
      </c>
      <c r="J345" s="96">
        <v>3.12426315E-2</v>
      </c>
    </row>
    <row r="346" spans="1:10">
      <c r="A346" s="96" t="s">
        <v>20</v>
      </c>
      <c r="B346" s="96" t="s">
        <v>124</v>
      </c>
      <c r="C346" s="96">
        <v>2006</v>
      </c>
      <c r="D346" s="96">
        <v>207</v>
      </c>
      <c r="E346" s="96">
        <v>18629</v>
      </c>
      <c r="F346" s="96">
        <v>2603</v>
      </c>
      <c r="G346" s="96">
        <v>21439</v>
      </c>
      <c r="H346" s="96">
        <v>0.8689304538</v>
      </c>
      <c r="I346" s="96">
        <v>0.1214142451</v>
      </c>
      <c r="J346" s="96">
        <v>9.6553010999999994E-3</v>
      </c>
    </row>
    <row r="347" spans="1:10">
      <c r="A347" s="96" t="s">
        <v>21</v>
      </c>
      <c r="B347" s="96" t="s">
        <v>124</v>
      </c>
      <c r="C347" s="96">
        <v>2006</v>
      </c>
      <c r="D347" s="96">
        <v>234</v>
      </c>
      <c r="E347" s="96">
        <v>5450</v>
      </c>
      <c r="F347" s="96">
        <v>1660</v>
      </c>
      <c r="G347" s="96">
        <v>7344</v>
      </c>
      <c r="H347" s="96">
        <v>0.74210239649999998</v>
      </c>
      <c r="I347" s="96">
        <v>0.22603485840000001</v>
      </c>
      <c r="J347" s="96">
        <v>3.1862745099999999E-2</v>
      </c>
    </row>
    <row r="348" spans="1:10">
      <c r="A348" s="96" t="s">
        <v>22</v>
      </c>
      <c r="B348" s="96" t="s">
        <v>124</v>
      </c>
      <c r="C348" s="96">
        <v>2006</v>
      </c>
      <c r="D348" s="96">
        <v>395</v>
      </c>
      <c r="E348" s="96">
        <v>8112</v>
      </c>
      <c r="F348" s="96">
        <v>632</v>
      </c>
      <c r="G348" s="96">
        <v>9139</v>
      </c>
      <c r="H348" s="96">
        <v>0.88762446660000005</v>
      </c>
      <c r="I348" s="96">
        <v>6.9154174400000004E-2</v>
      </c>
      <c r="J348" s="96">
        <v>4.3221359000000001E-2</v>
      </c>
    </row>
    <row r="349" spans="1:10">
      <c r="A349" s="96" t="s">
        <v>25</v>
      </c>
      <c r="B349" s="96" t="s">
        <v>111</v>
      </c>
      <c r="C349" s="96">
        <v>2007</v>
      </c>
      <c r="D349" s="96">
        <v>29</v>
      </c>
      <c r="E349" s="96">
        <v>2692</v>
      </c>
      <c r="F349" s="96">
        <v>82</v>
      </c>
      <c r="G349" s="96">
        <v>2803</v>
      </c>
      <c r="H349" s="96">
        <v>0.96039957190000003</v>
      </c>
      <c r="I349" s="96">
        <v>2.9254370299999999E-2</v>
      </c>
      <c r="J349" s="96">
        <v>1.0346057800000001E-2</v>
      </c>
    </row>
    <row r="350" spans="1:10">
      <c r="A350" s="96" t="s">
        <v>26</v>
      </c>
      <c r="B350" s="96" t="s">
        <v>111</v>
      </c>
      <c r="C350" s="96">
        <v>2007</v>
      </c>
      <c r="D350" s="96">
        <v>1</v>
      </c>
      <c r="E350" s="96">
        <v>2806</v>
      </c>
      <c r="F350" s="96">
        <v>5</v>
      </c>
      <c r="G350" s="96">
        <v>2812</v>
      </c>
      <c r="H350" s="96">
        <v>0.99786628730000004</v>
      </c>
      <c r="I350" s="96">
        <v>1.7780939E-3</v>
      </c>
      <c r="J350" s="96">
        <v>3.5561879999999998E-4</v>
      </c>
    </row>
    <row r="351" spans="1:10">
      <c r="A351" s="96" t="s">
        <v>27</v>
      </c>
      <c r="B351" s="96" t="s">
        <v>111</v>
      </c>
      <c r="C351" s="96">
        <v>2007</v>
      </c>
      <c r="D351" s="96">
        <v>103</v>
      </c>
      <c r="E351" s="96">
        <v>4170</v>
      </c>
      <c r="F351" s="96">
        <v>34</v>
      </c>
      <c r="G351" s="96">
        <v>4307</v>
      </c>
      <c r="H351" s="96">
        <v>0.96819131650000001</v>
      </c>
      <c r="I351" s="96">
        <v>7.8941258000000004E-3</v>
      </c>
      <c r="J351" s="96">
        <v>2.3914557699999998E-2</v>
      </c>
    </row>
    <row r="352" spans="1:10">
      <c r="A352" s="96" t="s">
        <v>28</v>
      </c>
      <c r="B352" s="96" t="s">
        <v>111</v>
      </c>
      <c r="C352" s="96">
        <v>2007</v>
      </c>
      <c r="D352" s="96">
        <v>1</v>
      </c>
      <c r="E352" s="96">
        <v>857</v>
      </c>
      <c r="F352" s="96">
        <v>15</v>
      </c>
      <c r="G352" s="96">
        <v>873</v>
      </c>
      <c r="H352" s="96">
        <v>0.98167239399999995</v>
      </c>
      <c r="I352" s="96">
        <v>1.7182130600000001E-2</v>
      </c>
      <c r="J352" s="96">
        <v>1.1454754000000001E-3</v>
      </c>
    </row>
    <row r="353" spans="1:10">
      <c r="A353" s="96" t="s">
        <v>132</v>
      </c>
      <c r="B353" s="96" t="s">
        <v>111</v>
      </c>
      <c r="C353" s="96">
        <v>2007</v>
      </c>
      <c r="D353" s="96">
        <v>0</v>
      </c>
      <c r="E353" s="96">
        <v>2517</v>
      </c>
      <c r="F353" s="96">
        <v>5</v>
      </c>
      <c r="G353" s="96">
        <v>2522</v>
      </c>
      <c r="H353" s="96">
        <v>0.99801744650000002</v>
      </c>
      <c r="I353" s="96">
        <v>1.9825534999999999E-3</v>
      </c>
      <c r="J353" s="96">
        <v>0</v>
      </c>
    </row>
    <row r="354" spans="1:10">
      <c r="A354" s="96" t="s">
        <v>133</v>
      </c>
      <c r="B354" s="96" t="s">
        <v>111</v>
      </c>
      <c r="C354" s="96">
        <v>2007</v>
      </c>
      <c r="D354" s="96">
        <v>0</v>
      </c>
      <c r="E354" s="96">
        <v>618</v>
      </c>
      <c r="F354" s="96">
        <v>25</v>
      </c>
      <c r="G354" s="96">
        <v>643</v>
      </c>
      <c r="H354" s="96">
        <v>0.96111975120000004</v>
      </c>
      <c r="I354" s="96">
        <v>3.8880248800000003E-2</v>
      </c>
      <c r="J354" s="96">
        <v>0</v>
      </c>
    </row>
    <row r="355" spans="1:10">
      <c r="A355" s="96" t="s">
        <v>112</v>
      </c>
      <c r="B355" s="96" t="s">
        <v>111</v>
      </c>
      <c r="C355" s="96">
        <v>2007</v>
      </c>
      <c r="D355" s="96">
        <v>0</v>
      </c>
      <c r="E355" s="96">
        <v>5391</v>
      </c>
      <c r="F355" s="96">
        <v>43</v>
      </c>
      <c r="G355" s="96">
        <v>5434</v>
      </c>
      <c r="H355" s="96">
        <v>0.99208686049999995</v>
      </c>
      <c r="I355" s="96">
        <v>7.9131394999999993E-3</v>
      </c>
      <c r="J355" s="96">
        <v>0</v>
      </c>
    </row>
    <row r="356" spans="1:10">
      <c r="A356" s="96" t="s">
        <v>113</v>
      </c>
      <c r="B356" s="96" t="s">
        <v>111</v>
      </c>
      <c r="C356" s="96">
        <v>2007</v>
      </c>
      <c r="D356" s="96">
        <v>0</v>
      </c>
      <c r="E356" s="96">
        <v>3895</v>
      </c>
      <c r="F356" s="96">
        <v>28</v>
      </c>
      <c r="G356" s="96">
        <v>3923</v>
      </c>
      <c r="H356" s="96">
        <v>0.99286260510000002</v>
      </c>
      <c r="I356" s="96">
        <v>7.1373948999999999E-3</v>
      </c>
      <c r="J356" s="96">
        <v>0</v>
      </c>
    </row>
    <row r="357" spans="1:10">
      <c r="A357" s="96" t="s">
        <v>114</v>
      </c>
      <c r="B357" s="96" t="s">
        <v>111</v>
      </c>
      <c r="C357" s="96">
        <v>2007</v>
      </c>
      <c r="D357" s="96">
        <v>0</v>
      </c>
      <c r="E357" s="96">
        <v>4363</v>
      </c>
      <c r="F357" s="96">
        <v>123</v>
      </c>
      <c r="G357" s="96">
        <v>4486</v>
      </c>
      <c r="H357" s="96">
        <v>0.97258136419999996</v>
      </c>
      <c r="I357" s="96">
        <v>2.7418635800000001E-2</v>
      </c>
      <c r="J357" s="96">
        <v>0</v>
      </c>
    </row>
    <row r="358" spans="1:10">
      <c r="A358" s="96" t="s">
        <v>115</v>
      </c>
      <c r="B358" s="96" t="s">
        <v>111</v>
      </c>
      <c r="C358" s="96">
        <v>2007</v>
      </c>
      <c r="D358" s="96">
        <v>15</v>
      </c>
      <c r="E358" s="96">
        <v>2666</v>
      </c>
      <c r="F358" s="96">
        <v>19</v>
      </c>
      <c r="G358" s="96">
        <v>2700</v>
      </c>
      <c r="H358" s="96">
        <v>0.98740740739999999</v>
      </c>
      <c r="I358" s="96">
        <v>7.0370370000000003E-3</v>
      </c>
      <c r="J358" s="96">
        <v>5.5555556000000004E-3</v>
      </c>
    </row>
    <row r="359" spans="1:10">
      <c r="A359" s="96" t="s">
        <v>37</v>
      </c>
      <c r="B359" s="96" t="s">
        <v>111</v>
      </c>
      <c r="C359" s="96">
        <v>2007</v>
      </c>
      <c r="D359" s="96">
        <v>122</v>
      </c>
      <c r="E359" s="96">
        <v>3327</v>
      </c>
      <c r="F359" s="96">
        <v>0</v>
      </c>
      <c r="G359" s="96">
        <v>3449</v>
      </c>
      <c r="H359" s="96">
        <v>0.96462742820000003</v>
      </c>
      <c r="I359" s="96">
        <v>0</v>
      </c>
      <c r="J359" s="96">
        <v>3.5372571800000002E-2</v>
      </c>
    </row>
    <row r="360" spans="1:10">
      <c r="A360" s="96" t="s">
        <v>116</v>
      </c>
      <c r="B360" s="96" t="s">
        <v>111</v>
      </c>
      <c r="C360" s="96">
        <v>2007</v>
      </c>
      <c r="D360" s="96">
        <v>73</v>
      </c>
      <c r="E360" s="96">
        <v>1307</v>
      </c>
      <c r="F360" s="96">
        <v>41</v>
      </c>
      <c r="G360" s="96">
        <v>1421</v>
      </c>
      <c r="H360" s="96">
        <v>0.91977480649999999</v>
      </c>
      <c r="I360" s="96">
        <v>2.88529205E-2</v>
      </c>
      <c r="J360" s="96">
        <v>5.1372273000000003E-2</v>
      </c>
    </row>
    <row r="361" spans="1:10">
      <c r="A361" s="96" t="s">
        <v>117</v>
      </c>
      <c r="B361" s="96" t="s">
        <v>111</v>
      </c>
      <c r="C361" s="96">
        <v>2007</v>
      </c>
      <c r="D361" s="96">
        <v>2</v>
      </c>
      <c r="E361" s="96">
        <v>1072</v>
      </c>
      <c r="F361" s="96">
        <v>15</v>
      </c>
      <c r="G361" s="96">
        <v>1089</v>
      </c>
      <c r="H361" s="96">
        <v>0.984389348</v>
      </c>
      <c r="I361" s="96">
        <v>1.3774104699999999E-2</v>
      </c>
      <c r="J361" s="96">
        <v>1.8365473000000001E-3</v>
      </c>
    </row>
    <row r="362" spans="1:10">
      <c r="A362" s="96" t="s">
        <v>118</v>
      </c>
      <c r="B362" s="96" t="s">
        <v>111</v>
      </c>
      <c r="C362" s="96">
        <v>2007</v>
      </c>
      <c r="D362" s="96">
        <v>23</v>
      </c>
      <c r="E362" s="96">
        <v>9229</v>
      </c>
      <c r="F362" s="96">
        <v>135</v>
      </c>
      <c r="G362" s="96">
        <v>9387</v>
      </c>
      <c r="H362" s="96">
        <v>0.98316821139999999</v>
      </c>
      <c r="I362" s="96">
        <v>1.43815916E-2</v>
      </c>
      <c r="J362" s="96">
        <v>2.4501970999999999E-3</v>
      </c>
    </row>
    <row r="363" spans="1:10">
      <c r="A363" s="96" t="s">
        <v>119</v>
      </c>
      <c r="B363" s="96" t="s">
        <v>111</v>
      </c>
      <c r="C363" s="96">
        <v>2007</v>
      </c>
      <c r="D363" s="96">
        <v>1</v>
      </c>
      <c r="E363" s="96">
        <v>6941</v>
      </c>
      <c r="F363" s="96">
        <v>13</v>
      </c>
      <c r="G363" s="96">
        <v>6955</v>
      </c>
      <c r="H363" s="96">
        <v>0.99798705970000001</v>
      </c>
      <c r="I363" s="96">
        <v>1.8691589E-3</v>
      </c>
      <c r="J363" s="96">
        <v>1.4378150000000001E-4</v>
      </c>
    </row>
    <row r="364" spans="1:10">
      <c r="A364" s="96" t="s">
        <v>120</v>
      </c>
      <c r="B364" s="96" t="s">
        <v>111</v>
      </c>
      <c r="C364" s="96">
        <v>2007</v>
      </c>
      <c r="D364" s="96">
        <v>7</v>
      </c>
      <c r="E364" s="96">
        <v>6193</v>
      </c>
      <c r="F364" s="96">
        <v>157</v>
      </c>
      <c r="G364" s="96">
        <v>6357</v>
      </c>
      <c r="H364" s="96">
        <v>0.97420166750000003</v>
      </c>
      <c r="I364" s="96">
        <v>2.46971842E-2</v>
      </c>
      <c r="J364" s="96">
        <v>1.1011483E-3</v>
      </c>
    </row>
    <row r="365" spans="1:10">
      <c r="A365" s="96" t="s">
        <v>121</v>
      </c>
      <c r="B365" s="96" t="s">
        <v>111</v>
      </c>
      <c r="C365" s="96">
        <v>2007</v>
      </c>
      <c r="D365" s="96">
        <v>18</v>
      </c>
      <c r="E365" s="96">
        <v>7029</v>
      </c>
      <c r="F365" s="96">
        <v>276</v>
      </c>
      <c r="G365" s="96">
        <v>7323</v>
      </c>
      <c r="H365" s="96">
        <v>0.95985251949999995</v>
      </c>
      <c r="I365" s="96">
        <v>3.7689471500000002E-2</v>
      </c>
      <c r="J365" s="96">
        <v>2.4580090000000001E-3</v>
      </c>
    </row>
    <row r="366" spans="1:10">
      <c r="A366" s="96" t="s">
        <v>122</v>
      </c>
      <c r="B366" s="96" t="s">
        <v>111</v>
      </c>
      <c r="C366" s="96">
        <v>2007</v>
      </c>
      <c r="D366" s="96">
        <v>28</v>
      </c>
      <c r="E366" s="96">
        <v>10235</v>
      </c>
      <c r="F366" s="96">
        <v>159</v>
      </c>
      <c r="G366" s="96">
        <v>10422</v>
      </c>
      <c r="H366" s="96">
        <v>0.98205718669999997</v>
      </c>
      <c r="I366" s="96">
        <v>1.5256188800000001E-2</v>
      </c>
      <c r="J366" s="96">
        <v>2.6866244E-3</v>
      </c>
    </row>
    <row r="367" spans="1:10">
      <c r="A367" s="96" t="s">
        <v>134</v>
      </c>
      <c r="B367" s="96" t="s">
        <v>111</v>
      </c>
      <c r="C367" s="96">
        <v>2007</v>
      </c>
      <c r="D367" s="96">
        <v>1</v>
      </c>
      <c r="E367" s="96">
        <v>867</v>
      </c>
      <c r="F367" s="96">
        <v>7</v>
      </c>
      <c r="G367" s="96">
        <v>875</v>
      </c>
      <c r="H367" s="96">
        <v>0.99085714290000004</v>
      </c>
      <c r="I367" s="96">
        <v>8.0000000000000002E-3</v>
      </c>
      <c r="J367" s="96">
        <v>1.1428571E-3</v>
      </c>
    </row>
    <row r="368" spans="1:10">
      <c r="A368" s="96" t="s">
        <v>40</v>
      </c>
      <c r="B368" s="96" t="s">
        <v>111</v>
      </c>
      <c r="C368" s="96">
        <v>2007</v>
      </c>
      <c r="D368" s="96">
        <v>32</v>
      </c>
      <c r="E368" s="96">
        <v>2999</v>
      </c>
      <c r="F368" s="96">
        <v>13</v>
      </c>
      <c r="G368" s="96">
        <v>3044</v>
      </c>
      <c r="H368" s="96">
        <v>0.98521681999999999</v>
      </c>
      <c r="I368" s="96">
        <v>4.2706964999999998E-3</v>
      </c>
      <c r="J368" s="96">
        <v>1.0512483600000001E-2</v>
      </c>
    </row>
    <row r="369" spans="1:10">
      <c r="A369" s="96" t="s">
        <v>45</v>
      </c>
      <c r="B369" s="96" t="s">
        <v>111</v>
      </c>
      <c r="C369" s="96">
        <v>2007</v>
      </c>
      <c r="D369" s="96">
        <v>10</v>
      </c>
      <c r="E369" s="96">
        <v>2839</v>
      </c>
      <c r="F369" s="96">
        <v>103</v>
      </c>
      <c r="G369" s="96">
        <v>2952</v>
      </c>
      <c r="H369" s="96">
        <v>0.96172086720000005</v>
      </c>
      <c r="I369" s="96">
        <v>3.4891598900000001E-2</v>
      </c>
      <c r="J369" s="96">
        <v>3.3875339000000002E-3</v>
      </c>
    </row>
    <row r="370" spans="1:10">
      <c r="A370" s="96" t="s">
        <v>123</v>
      </c>
      <c r="B370" s="96" t="s">
        <v>124</v>
      </c>
      <c r="C370" s="96">
        <v>2007</v>
      </c>
      <c r="D370" s="96">
        <v>1132</v>
      </c>
      <c r="E370" s="96">
        <v>748</v>
      </c>
      <c r="F370" s="96">
        <v>0</v>
      </c>
      <c r="G370" s="96">
        <v>1880</v>
      </c>
      <c r="H370" s="96">
        <v>0.39787234040000002</v>
      </c>
      <c r="I370" s="96">
        <v>0</v>
      </c>
      <c r="J370" s="96">
        <v>0.60212765960000003</v>
      </c>
    </row>
    <row r="371" spans="1:10">
      <c r="A371" s="96" t="s">
        <v>14</v>
      </c>
      <c r="B371" s="96" t="s">
        <v>124</v>
      </c>
      <c r="C371" s="96">
        <v>2007</v>
      </c>
      <c r="D371" s="96">
        <v>131</v>
      </c>
      <c r="E371" s="96">
        <v>2075</v>
      </c>
      <c r="F371" s="96">
        <v>303</v>
      </c>
      <c r="G371" s="96">
        <v>2509</v>
      </c>
      <c r="H371" s="96">
        <v>0.82702271819999995</v>
      </c>
      <c r="I371" s="96">
        <v>0.1207652451</v>
      </c>
      <c r="J371" s="96">
        <v>5.2212036699999999E-2</v>
      </c>
    </row>
    <row r="372" spans="1:10">
      <c r="A372" s="96" t="s">
        <v>125</v>
      </c>
      <c r="B372" s="96" t="s">
        <v>124</v>
      </c>
      <c r="C372" s="96">
        <v>2007</v>
      </c>
      <c r="D372" s="96">
        <v>279</v>
      </c>
      <c r="E372" s="96">
        <v>4593</v>
      </c>
      <c r="F372" s="96">
        <v>464</v>
      </c>
      <c r="G372" s="96">
        <v>5336</v>
      </c>
      <c r="H372" s="96">
        <v>0.86075712140000005</v>
      </c>
      <c r="I372" s="96">
        <v>8.6956521699999997E-2</v>
      </c>
      <c r="J372" s="96">
        <v>5.2286356800000003E-2</v>
      </c>
    </row>
    <row r="373" spans="1:10">
      <c r="A373" s="96" t="s">
        <v>126</v>
      </c>
      <c r="B373" s="96" t="s">
        <v>124</v>
      </c>
      <c r="C373" s="96">
        <v>2007</v>
      </c>
      <c r="D373" s="96">
        <v>296</v>
      </c>
      <c r="E373" s="96">
        <v>13558</v>
      </c>
      <c r="F373" s="96">
        <v>780</v>
      </c>
      <c r="G373" s="96">
        <v>14634</v>
      </c>
      <c r="H373" s="96">
        <v>0.92647259810000004</v>
      </c>
      <c r="I373" s="96">
        <v>5.3300532999999997E-2</v>
      </c>
      <c r="J373" s="96">
        <v>2.02268689E-2</v>
      </c>
    </row>
    <row r="374" spans="1:10">
      <c r="A374" s="96" t="s">
        <v>127</v>
      </c>
      <c r="B374" s="96" t="s">
        <v>124</v>
      </c>
      <c r="C374" s="96">
        <v>2007</v>
      </c>
      <c r="D374" s="96">
        <v>111</v>
      </c>
      <c r="E374" s="96">
        <v>3968</v>
      </c>
      <c r="F374" s="96">
        <v>659</v>
      </c>
      <c r="G374" s="96">
        <v>4738</v>
      </c>
      <c r="H374" s="96">
        <v>0.83748417050000001</v>
      </c>
      <c r="I374" s="96">
        <v>0.1390882229</v>
      </c>
      <c r="J374" s="96">
        <v>2.3427606600000001E-2</v>
      </c>
    </row>
    <row r="375" spans="1:10">
      <c r="A375" s="96" t="s">
        <v>128</v>
      </c>
      <c r="B375" s="96" t="s">
        <v>124</v>
      </c>
      <c r="C375" s="96">
        <v>2007</v>
      </c>
      <c r="D375" s="96">
        <v>22</v>
      </c>
      <c r="E375" s="96">
        <v>4488</v>
      </c>
      <c r="F375" s="96">
        <v>302</v>
      </c>
      <c r="G375" s="96">
        <v>4812</v>
      </c>
      <c r="H375" s="96">
        <v>0.93266832919999998</v>
      </c>
      <c r="I375" s="96">
        <v>6.2759767199999997E-2</v>
      </c>
      <c r="J375" s="96">
        <v>4.5719035999999998E-3</v>
      </c>
    </row>
    <row r="376" spans="1:10">
      <c r="A376" s="96" t="s">
        <v>129</v>
      </c>
      <c r="B376" s="96" t="s">
        <v>124</v>
      </c>
      <c r="C376" s="96">
        <v>2007</v>
      </c>
      <c r="D376" s="96">
        <v>145</v>
      </c>
      <c r="E376" s="96">
        <v>4352</v>
      </c>
      <c r="F376" s="96">
        <v>887</v>
      </c>
      <c r="G376" s="96">
        <v>5384</v>
      </c>
      <c r="H376" s="96">
        <v>0.80832095100000001</v>
      </c>
      <c r="I376" s="96">
        <v>0.16474739969999999</v>
      </c>
      <c r="J376" s="96">
        <v>2.6931649299999999E-2</v>
      </c>
    </row>
    <row r="377" spans="1:10">
      <c r="A377" s="96" t="s">
        <v>130</v>
      </c>
      <c r="B377" s="96" t="s">
        <v>124</v>
      </c>
      <c r="C377" s="96">
        <v>2007</v>
      </c>
      <c r="D377" s="96">
        <v>214</v>
      </c>
      <c r="E377" s="96">
        <v>7503</v>
      </c>
      <c r="F377" s="96">
        <v>882</v>
      </c>
      <c r="G377" s="96">
        <v>8599</v>
      </c>
      <c r="H377" s="96">
        <v>0.87254331900000004</v>
      </c>
      <c r="I377" s="96">
        <v>0.1025700663</v>
      </c>
      <c r="J377" s="96">
        <v>2.48866147E-2</v>
      </c>
    </row>
    <row r="378" spans="1:10">
      <c r="A378" s="96" t="s">
        <v>19</v>
      </c>
      <c r="B378" s="96" t="s">
        <v>124</v>
      </c>
      <c r="C378" s="96">
        <v>2007</v>
      </c>
      <c r="D378" s="96">
        <v>308</v>
      </c>
      <c r="E378" s="96">
        <v>4355</v>
      </c>
      <c r="F378" s="96">
        <v>945</v>
      </c>
      <c r="G378" s="96">
        <v>5608</v>
      </c>
      <c r="H378" s="96">
        <v>0.77656918689999999</v>
      </c>
      <c r="I378" s="96">
        <v>0.1685092725</v>
      </c>
      <c r="J378" s="96">
        <v>5.49215407E-2</v>
      </c>
    </row>
    <row r="379" spans="1:10">
      <c r="A379" s="96" t="s">
        <v>131</v>
      </c>
      <c r="B379" s="96" t="s">
        <v>124</v>
      </c>
      <c r="C379" s="96">
        <v>2007</v>
      </c>
      <c r="D379" s="96">
        <v>1209</v>
      </c>
      <c r="E379" s="96">
        <v>6766</v>
      </c>
      <c r="F379" s="96">
        <v>447</v>
      </c>
      <c r="G379" s="96">
        <v>8422</v>
      </c>
      <c r="H379" s="96">
        <v>0.80337212059999996</v>
      </c>
      <c r="I379" s="96">
        <v>5.3075279000000003E-2</v>
      </c>
      <c r="J379" s="96">
        <v>0.1435526003</v>
      </c>
    </row>
    <row r="380" spans="1:10">
      <c r="A380" s="96" t="s">
        <v>20</v>
      </c>
      <c r="B380" s="96" t="s">
        <v>124</v>
      </c>
      <c r="C380" s="96">
        <v>2007</v>
      </c>
      <c r="D380" s="96">
        <v>259</v>
      </c>
      <c r="E380" s="96">
        <v>18627</v>
      </c>
      <c r="F380" s="96">
        <v>2688</v>
      </c>
      <c r="G380" s="96">
        <v>21574</v>
      </c>
      <c r="H380" s="96">
        <v>0.86340038939999997</v>
      </c>
      <c r="I380" s="96">
        <v>0.1245944192</v>
      </c>
      <c r="J380" s="96">
        <v>1.20051914E-2</v>
      </c>
    </row>
    <row r="381" spans="1:10">
      <c r="A381" s="96" t="s">
        <v>21</v>
      </c>
      <c r="B381" s="96" t="s">
        <v>124</v>
      </c>
      <c r="C381" s="96">
        <v>2007</v>
      </c>
      <c r="D381" s="96">
        <v>227</v>
      </c>
      <c r="E381" s="96">
        <v>5382</v>
      </c>
      <c r="F381" s="96">
        <v>1621</v>
      </c>
      <c r="G381" s="96">
        <v>7230</v>
      </c>
      <c r="H381" s="96">
        <v>0.74439834019999995</v>
      </c>
      <c r="I381" s="96">
        <v>0.2242047026</v>
      </c>
      <c r="J381" s="96">
        <v>3.1396957099999998E-2</v>
      </c>
    </row>
    <row r="382" spans="1:10">
      <c r="A382" s="96" t="s">
        <v>22</v>
      </c>
      <c r="B382" s="96" t="s">
        <v>124</v>
      </c>
      <c r="C382" s="96">
        <v>2007</v>
      </c>
      <c r="D382" s="96">
        <v>397</v>
      </c>
      <c r="E382" s="96">
        <v>8170</v>
      </c>
      <c r="F382" s="96">
        <v>656</v>
      </c>
      <c r="G382" s="96">
        <v>9223</v>
      </c>
      <c r="H382" s="96">
        <v>0.88582890599999997</v>
      </c>
      <c r="I382" s="96">
        <v>7.1126531500000006E-2</v>
      </c>
      <c r="J382" s="96">
        <v>4.3044562500000001E-2</v>
      </c>
    </row>
    <row r="383" spans="1:10">
      <c r="A383" s="96" t="s">
        <v>25</v>
      </c>
      <c r="B383" s="96" t="s">
        <v>111</v>
      </c>
      <c r="C383" s="96">
        <v>2008</v>
      </c>
      <c r="D383" s="96">
        <v>34</v>
      </c>
      <c r="E383" s="96">
        <v>2926</v>
      </c>
      <c r="F383" s="96">
        <v>86</v>
      </c>
      <c r="G383" s="96">
        <v>3046</v>
      </c>
      <c r="H383" s="96">
        <v>0.9606040709</v>
      </c>
      <c r="I383" s="96">
        <v>2.8233749200000002E-2</v>
      </c>
      <c r="J383" s="96">
        <v>1.1162179899999999E-2</v>
      </c>
    </row>
    <row r="384" spans="1:10">
      <c r="A384" s="96" t="s">
        <v>26</v>
      </c>
      <c r="B384" s="96" t="s">
        <v>111</v>
      </c>
      <c r="C384" s="96">
        <v>2008</v>
      </c>
      <c r="D384" s="96">
        <v>2</v>
      </c>
      <c r="E384" s="96">
        <v>2865</v>
      </c>
      <c r="F384" s="96">
        <v>3</v>
      </c>
      <c r="G384" s="96">
        <v>2870</v>
      </c>
      <c r="H384" s="96">
        <v>0.99825783970000004</v>
      </c>
      <c r="I384" s="96">
        <v>1.0452962000000001E-3</v>
      </c>
      <c r="J384" s="96">
        <v>6.9686409999999998E-4</v>
      </c>
    </row>
    <row r="385" spans="1:10">
      <c r="A385" s="96" t="s">
        <v>27</v>
      </c>
      <c r="B385" s="96" t="s">
        <v>111</v>
      </c>
      <c r="C385" s="96">
        <v>2008</v>
      </c>
      <c r="D385" s="96">
        <v>97</v>
      </c>
      <c r="E385" s="96">
        <v>4471</v>
      </c>
      <c r="F385" s="96">
        <v>42</v>
      </c>
      <c r="G385" s="96">
        <v>4610</v>
      </c>
      <c r="H385" s="96">
        <v>0.96984815619999998</v>
      </c>
      <c r="I385" s="96">
        <v>9.1106290999999999E-3</v>
      </c>
      <c r="J385" s="96">
        <v>2.1041214799999999E-2</v>
      </c>
    </row>
    <row r="386" spans="1:10">
      <c r="A386" s="96" t="s">
        <v>28</v>
      </c>
      <c r="B386" s="96" t="s">
        <v>111</v>
      </c>
      <c r="C386" s="96">
        <v>2008</v>
      </c>
      <c r="D386" s="96">
        <v>1</v>
      </c>
      <c r="E386" s="96">
        <v>913</v>
      </c>
      <c r="F386" s="96">
        <v>36</v>
      </c>
      <c r="G386" s="96">
        <v>950</v>
      </c>
      <c r="H386" s="96">
        <v>0.96105263159999998</v>
      </c>
      <c r="I386" s="96">
        <v>3.7894736800000002E-2</v>
      </c>
      <c r="J386" s="96">
        <v>1.0526316E-3</v>
      </c>
    </row>
    <row r="387" spans="1:10">
      <c r="A387" s="96" t="s">
        <v>132</v>
      </c>
      <c r="B387" s="96" t="s">
        <v>111</v>
      </c>
      <c r="C387" s="96">
        <v>2008</v>
      </c>
      <c r="D387" s="96">
        <v>0</v>
      </c>
      <c r="E387" s="96">
        <v>2655</v>
      </c>
      <c r="F387" s="96">
        <v>11</v>
      </c>
      <c r="G387" s="96">
        <v>2666</v>
      </c>
      <c r="H387" s="96">
        <v>0.99587396849999998</v>
      </c>
      <c r="I387" s="96">
        <v>4.1260315000000002E-3</v>
      </c>
      <c r="J387" s="96">
        <v>0</v>
      </c>
    </row>
    <row r="388" spans="1:10">
      <c r="A388" s="96" t="s">
        <v>133</v>
      </c>
      <c r="B388" s="96" t="s">
        <v>111</v>
      </c>
      <c r="C388" s="96">
        <v>2008</v>
      </c>
      <c r="D388" s="96">
        <v>0</v>
      </c>
      <c r="E388" s="96">
        <v>617</v>
      </c>
      <c r="F388" s="96">
        <v>26</v>
      </c>
      <c r="G388" s="96">
        <v>643</v>
      </c>
      <c r="H388" s="96">
        <v>0.95956454120000001</v>
      </c>
      <c r="I388" s="96">
        <v>4.0435458799999997E-2</v>
      </c>
      <c r="J388" s="96">
        <v>0</v>
      </c>
    </row>
    <row r="389" spans="1:10">
      <c r="A389" s="96" t="s">
        <v>112</v>
      </c>
      <c r="B389" s="96" t="s">
        <v>111</v>
      </c>
      <c r="C389" s="96">
        <v>2008</v>
      </c>
      <c r="D389" s="96">
        <v>0</v>
      </c>
      <c r="E389" s="96">
        <v>5704</v>
      </c>
      <c r="F389" s="96">
        <v>44</v>
      </c>
      <c r="G389" s="96">
        <v>5748</v>
      </c>
      <c r="H389" s="96">
        <v>0.99234516350000002</v>
      </c>
      <c r="I389" s="96">
        <v>7.6548364999999997E-3</v>
      </c>
      <c r="J389" s="96">
        <v>0</v>
      </c>
    </row>
    <row r="390" spans="1:10">
      <c r="A390" s="96" t="s">
        <v>113</v>
      </c>
      <c r="B390" s="96" t="s">
        <v>111</v>
      </c>
      <c r="C390" s="96">
        <v>2008</v>
      </c>
      <c r="D390" s="96">
        <v>0</v>
      </c>
      <c r="E390" s="96">
        <v>3908</v>
      </c>
      <c r="F390" s="96">
        <v>35</v>
      </c>
      <c r="G390" s="96">
        <v>3943</v>
      </c>
      <c r="H390" s="96">
        <v>0.99112350999999999</v>
      </c>
      <c r="I390" s="96">
        <v>8.8764900000000008E-3</v>
      </c>
      <c r="J390" s="96">
        <v>0</v>
      </c>
    </row>
    <row r="391" spans="1:10">
      <c r="A391" s="96" t="s">
        <v>114</v>
      </c>
      <c r="B391" s="96" t="s">
        <v>111</v>
      </c>
      <c r="C391" s="96">
        <v>2008</v>
      </c>
      <c r="D391" s="96">
        <v>0</v>
      </c>
      <c r="E391" s="96">
        <v>4161</v>
      </c>
      <c r="F391" s="96">
        <v>138</v>
      </c>
      <c r="G391" s="96">
        <v>4299</v>
      </c>
      <c r="H391" s="96">
        <v>0.96789951149999998</v>
      </c>
      <c r="I391" s="96">
        <v>3.2100488500000003E-2</v>
      </c>
      <c r="J391" s="96">
        <v>0</v>
      </c>
    </row>
    <row r="392" spans="1:10">
      <c r="A392" s="96" t="s">
        <v>115</v>
      </c>
      <c r="B392" s="96" t="s">
        <v>111</v>
      </c>
      <c r="C392" s="96">
        <v>2008</v>
      </c>
      <c r="D392" s="96">
        <v>9</v>
      </c>
      <c r="E392" s="96">
        <v>2736</v>
      </c>
      <c r="F392" s="96">
        <v>29</v>
      </c>
      <c r="G392" s="96">
        <v>2774</v>
      </c>
      <c r="H392" s="96">
        <v>0.98630136989999995</v>
      </c>
      <c r="I392" s="96">
        <v>1.0454217700000001E-2</v>
      </c>
      <c r="J392" s="96">
        <v>3.2444124E-3</v>
      </c>
    </row>
    <row r="393" spans="1:10">
      <c r="A393" s="96" t="s">
        <v>37</v>
      </c>
      <c r="B393" s="96" t="s">
        <v>111</v>
      </c>
      <c r="C393" s="96">
        <v>2008</v>
      </c>
      <c r="D393" s="96">
        <v>3461</v>
      </c>
      <c r="E393" s="96">
        <v>89</v>
      </c>
      <c r="F393" s="96">
        <v>0</v>
      </c>
      <c r="G393" s="96">
        <v>3550</v>
      </c>
      <c r="H393" s="96">
        <v>2.5070422500000002E-2</v>
      </c>
      <c r="I393" s="96">
        <v>0</v>
      </c>
      <c r="J393" s="96">
        <v>0.97492957749999998</v>
      </c>
    </row>
    <row r="394" spans="1:10">
      <c r="A394" s="96" t="s">
        <v>116</v>
      </c>
      <c r="B394" s="96" t="s">
        <v>111</v>
      </c>
      <c r="C394" s="96">
        <v>2008</v>
      </c>
      <c r="D394" s="96">
        <v>130</v>
      </c>
      <c r="E394" s="96">
        <v>1362</v>
      </c>
      <c r="F394" s="96">
        <v>72</v>
      </c>
      <c r="G394" s="96">
        <v>1564</v>
      </c>
      <c r="H394" s="96">
        <v>0.8708439898</v>
      </c>
      <c r="I394" s="96">
        <v>4.60358056E-2</v>
      </c>
      <c r="J394" s="96">
        <v>8.3120204599999997E-2</v>
      </c>
    </row>
    <row r="395" spans="1:10">
      <c r="A395" s="96" t="s">
        <v>117</v>
      </c>
      <c r="B395" s="96" t="s">
        <v>111</v>
      </c>
      <c r="C395" s="96">
        <v>2008</v>
      </c>
      <c r="D395" s="96">
        <v>2</v>
      </c>
      <c r="E395" s="96">
        <v>1096</v>
      </c>
      <c r="F395" s="96">
        <v>18</v>
      </c>
      <c r="G395" s="96">
        <v>1116</v>
      </c>
      <c r="H395" s="96">
        <v>0.98207885299999997</v>
      </c>
      <c r="I395" s="96">
        <v>1.6129032299999999E-2</v>
      </c>
      <c r="J395" s="96">
        <v>1.7921147000000001E-3</v>
      </c>
    </row>
    <row r="396" spans="1:10">
      <c r="A396" s="96" t="s">
        <v>118</v>
      </c>
      <c r="B396" s="96" t="s">
        <v>111</v>
      </c>
      <c r="C396" s="96">
        <v>2008</v>
      </c>
      <c r="D396" s="96">
        <v>20</v>
      </c>
      <c r="E396" s="96">
        <v>10093</v>
      </c>
      <c r="F396" s="96">
        <v>153</v>
      </c>
      <c r="G396" s="96">
        <v>10266</v>
      </c>
      <c r="H396" s="96">
        <v>0.98314825640000003</v>
      </c>
      <c r="I396" s="96">
        <v>1.49035652E-2</v>
      </c>
      <c r="J396" s="96">
        <v>1.9481785E-3</v>
      </c>
    </row>
    <row r="397" spans="1:10">
      <c r="A397" s="96" t="s">
        <v>119</v>
      </c>
      <c r="B397" s="96" t="s">
        <v>111</v>
      </c>
      <c r="C397" s="96">
        <v>2008</v>
      </c>
      <c r="D397" s="96">
        <v>1</v>
      </c>
      <c r="E397" s="96">
        <v>7320</v>
      </c>
      <c r="F397" s="96">
        <v>9</v>
      </c>
      <c r="G397" s="96">
        <v>7330</v>
      </c>
      <c r="H397" s="96">
        <v>0.99863574349999995</v>
      </c>
      <c r="I397" s="96">
        <v>1.2278307999999999E-3</v>
      </c>
      <c r="J397" s="96">
        <v>1.3642560000000001E-4</v>
      </c>
    </row>
    <row r="398" spans="1:10">
      <c r="A398" s="96" t="s">
        <v>120</v>
      </c>
      <c r="B398" s="96" t="s">
        <v>111</v>
      </c>
      <c r="C398" s="96">
        <v>2008</v>
      </c>
      <c r="D398" s="96">
        <v>61</v>
      </c>
      <c r="E398" s="96">
        <v>6365</v>
      </c>
      <c r="F398" s="96">
        <v>151</v>
      </c>
      <c r="G398" s="96">
        <v>6577</v>
      </c>
      <c r="H398" s="96">
        <v>0.96776645890000002</v>
      </c>
      <c r="I398" s="96">
        <v>2.2958795800000001E-2</v>
      </c>
      <c r="J398" s="96">
        <v>9.2747452999999997E-3</v>
      </c>
    </row>
    <row r="399" spans="1:10">
      <c r="A399" s="96" t="s">
        <v>121</v>
      </c>
      <c r="B399" s="96" t="s">
        <v>111</v>
      </c>
      <c r="C399" s="96">
        <v>2008</v>
      </c>
      <c r="D399" s="96">
        <v>209</v>
      </c>
      <c r="E399" s="96">
        <v>6797</v>
      </c>
      <c r="F399" s="96">
        <v>240</v>
      </c>
      <c r="G399" s="96">
        <v>7246</v>
      </c>
      <c r="H399" s="96">
        <v>0.9380347778</v>
      </c>
      <c r="I399" s="96">
        <v>3.3121722300000003E-2</v>
      </c>
      <c r="J399" s="96">
        <v>2.88434999E-2</v>
      </c>
    </row>
    <row r="400" spans="1:10">
      <c r="A400" s="96" t="s">
        <v>122</v>
      </c>
      <c r="B400" s="96" t="s">
        <v>111</v>
      </c>
      <c r="C400" s="96">
        <v>2008</v>
      </c>
      <c r="D400" s="96">
        <v>265</v>
      </c>
      <c r="E400" s="96">
        <v>9988</v>
      </c>
      <c r="F400" s="96">
        <v>194</v>
      </c>
      <c r="G400" s="96">
        <v>10447</v>
      </c>
      <c r="H400" s="96">
        <v>0.95606394179999998</v>
      </c>
      <c r="I400" s="96">
        <v>1.85699244E-2</v>
      </c>
      <c r="J400" s="96">
        <v>2.5366133799999999E-2</v>
      </c>
    </row>
    <row r="401" spans="1:10">
      <c r="A401" s="96" t="s">
        <v>134</v>
      </c>
      <c r="B401" s="96" t="s">
        <v>111</v>
      </c>
      <c r="C401" s="96">
        <v>2008</v>
      </c>
      <c r="D401" s="96">
        <v>60</v>
      </c>
      <c r="E401" s="96">
        <v>1102</v>
      </c>
      <c r="F401" s="96">
        <v>3</v>
      </c>
      <c r="G401" s="96">
        <v>1165</v>
      </c>
      <c r="H401" s="96">
        <v>0.94592274679999999</v>
      </c>
      <c r="I401" s="96">
        <v>2.5751073000000002E-3</v>
      </c>
      <c r="J401" s="96">
        <v>5.1502145899999997E-2</v>
      </c>
    </row>
    <row r="402" spans="1:10">
      <c r="A402" s="96" t="s">
        <v>40</v>
      </c>
      <c r="B402" s="96" t="s">
        <v>111</v>
      </c>
      <c r="C402" s="96">
        <v>2008</v>
      </c>
      <c r="D402" s="96">
        <v>49</v>
      </c>
      <c r="E402" s="96">
        <v>3113</v>
      </c>
      <c r="F402" s="96">
        <v>23</v>
      </c>
      <c r="G402" s="96">
        <v>3185</v>
      </c>
      <c r="H402" s="96">
        <v>0.97739403449999995</v>
      </c>
      <c r="I402" s="96">
        <v>7.2213501000000001E-3</v>
      </c>
      <c r="J402" s="96">
        <v>1.5384615399999999E-2</v>
      </c>
    </row>
    <row r="403" spans="1:10">
      <c r="A403" s="96" t="s">
        <v>45</v>
      </c>
      <c r="B403" s="96" t="s">
        <v>111</v>
      </c>
      <c r="C403" s="96">
        <v>2008</v>
      </c>
      <c r="D403" s="96">
        <v>9</v>
      </c>
      <c r="E403" s="96">
        <v>2788</v>
      </c>
      <c r="F403" s="96">
        <v>84</v>
      </c>
      <c r="G403" s="96">
        <v>2881</v>
      </c>
      <c r="H403" s="96">
        <v>0.96771954179999997</v>
      </c>
      <c r="I403" s="96">
        <v>2.9156542899999999E-2</v>
      </c>
      <c r="J403" s="96">
        <v>3.1239153000000002E-3</v>
      </c>
    </row>
    <row r="404" spans="1:10">
      <c r="A404" s="96" t="s">
        <v>123</v>
      </c>
      <c r="B404" s="96" t="s">
        <v>124</v>
      </c>
      <c r="C404" s="96">
        <v>2008</v>
      </c>
      <c r="D404" s="96">
        <v>196</v>
      </c>
      <c r="E404" s="96">
        <v>1655</v>
      </c>
      <c r="F404" s="96">
        <v>0</v>
      </c>
      <c r="G404" s="96">
        <v>1851</v>
      </c>
      <c r="H404" s="96">
        <v>0.89411129119999999</v>
      </c>
      <c r="I404" s="96">
        <v>0</v>
      </c>
      <c r="J404" s="96">
        <v>0.10588870879999999</v>
      </c>
    </row>
    <row r="405" spans="1:10">
      <c r="A405" s="96" t="s">
        <v>14</v>
      </c>
      <c r="B405" s="96" t="s">
        <v>124</v>
      </c>
      <c r="C405" s="96">
        <v>2008</v>
      </c>
      <c r="D405" s="96">
        <v>533</v>
      </c>
      <c r="E405" s="96">
        <v>1963</v>
      </c>
      <c r="F405" s="96">
        <v>0</v>
      </c>
      <c r="G405" s="96">
        <v>2496</v>
      </c>
      <c r="H405" s="96">
        <v>0.78645833330000003</v>
      </c>
      <c r="I405" s="96">
        <v>0</v>
      </c>
      <c r="J405" s="96">
        <v>0.21354166669999999</v>
      </c>
    </row>
    <row r="406" spans="1:10">
      <c r="A406" s="96" t="s">
        <v>125</v>
      </c>
      <c r="B406" s="96" t="s">
        <v>124</v>
      </c>
      <c r="C406" s="96">
        <v>2008</v>
      </c>
      <c r="D406" s="96">
        <v>682</v>
      </c>
      <c r="E406" s="96">
        <v>4037</v>
      </c>
      <c r="F406" s="96">
        <v>432</v>
      </c>
      <c r="G406" s="96">
        <v>5151</v>
      </c>
      <c r="H406" s="96">
        <v>0.78373131429999998</v>
      </c>
      <c r="I406" s="96">
        <v>8.3867210299999995E-2</v>
      </c>
      <c r="J406" s="96">
        <v>0.1324014754</v>
      </c>
    </row>
    <row r="407" spans="1:10">
      <c r="A407" s="96" t="s">
        <v>126</v>
      </c>
      <c r="B407" s="96" t="s">
        <v>124</v>
      </c>
      <c r="C407" s="96">
        <v>2008</v>
      </c>
      <c r="D407" s="96">
        <v>361</v>
      </c>
      <c r="E407" s="96">
        <v>13409</v>
      </c>
      <c r="F407" s="96">
        <v>839</v>
      </c>
      <c r="G407" s="96">
        <v>14609</v>
      </c>
      <c r="H407" s="96">
        <v>0.91785885410000001</v>
      </c>
      <c r="I407" s="96">
        <v>5.74303512E-2</v>
      </c>
      <c r="J407" s="96">
        <v>2.47107947E-2</v>
      </c>
    </row>
    <row r="408" spans="1:10">
      <c r="A408" s="96" t="s">
        <v>127</v>
      </c>
      <c r="B408" s="96" t="s">
        <v>124</v>
      </c>
      <c r="C408" s="96">
        <v>2008</v>
      </c>
      <c r="D408" s="96">
        <v>132</v>
      </c>
      <c r="E408" s="96">
        <v>4094</v>
      </c>
      <c r="F408" s="96">
        <v>680</v>
      </c>
      <c r="G408" s="96">
        <v>4906</v>
      </c>
      <c r="H408" s="96">
        <v>0.83448838160000005</v>
      </c>
      <c r="I408" s="96">
        <v>0.13860578879999999</v>
      </c>
      <c r="J408" s="96">
        <v>2.69058296E-2</v>
      </c>
    </row>
    <row r="409" spans="1:10">
      <c r="A409" s="96" t="s">
        <v>128</v>
      </c>
      <c r="B409" s="96" t="s">
        <v>124</v>
      </c>
      <c r="C409" s="96">
        <v>2008</v>
      </c>
      <c r="D409" s="96">
        <v>7</v>
      </c>
      <c r="E409" s="96">
        <v>4630</v>
      </c>
      <c r="F409" s="96">
        <v>307</v>
      </c>
      <c r="G409" s="96">
        <v>4944</v>
      </c>
      <c r="H409" s="96">
        <v>0.93648867309999995</v>
      </c>
      <c r="I409" s="96">
        <v>6.2095469299999997E-2</v>
      </c>
      <c r="J409" s="96">
        <v>1.4158576E-3</v>
      </c>
    </row>
    <row r="410" spans="1:10">
      <c r="A410" s="96" t="s">
        <v>129</v>
      </c>
      <c r="B410" s="96" t="s">
        <v>124</v>
      </c>
      <c r="C410" s="96">
        <v>2008</v>
      </c>
      <c r="D410" s="96">
        <v>129</v>
      </c>
      <c r="E410" s="96">
        <v>4492</v>
      </c>
      <c r="F410" s="96">
        <v>912</v>
      </c>
      <c r="G410" s="96">
        <v>5533</v>
      </c>
      <c r="H410" s="96">
        <v>0.81185613590000005</v>
      </c>
      <c r="I410" s="96">
        <v>0.1648292066</v>
      </c>
      <c r="J410" s="96">
        <v>2.3314657499999999E-2</v>
      </c>
    </row>
    <row r="411" spans="1:10">
      <c r="A411" s="96" t="s">
        <v>130</v>
      </c>
      <c r="B411" s="96" t="s">
        <v>124</v>
      </c>
      <c r="C411" s="96">
        <v>2008</v>
      </c>
      <c r="D411" s="96">
        <v>321</v>
      </c>
      <c r="E411" s="96">
        <v>7519</v>
      </c>
      <c r="F411" s="96">
        <v>914</v>
      </c>
      <c r="G411" s="96">
        <v>8754</v>
      </c>
      <c r="H411" s="96">
        <v>0.85892163580000003</v>
      </c>
      <c r="I411" s="96">
        <v>0.1044094128</v>
      </c>
      <c r="J411" s="96">
        <v>3.6668951300000002E-2</v>
      </c>
    </row>
    <row r="412" spans="1:10">
      <c r="A412" s="96" t="s">
        <v>19</v>
      </c>
      <c r="B412" s="96" t="s">
        <v>124</v>
      </c>
      <c r="C412" s="96">
        <v>2008</v>
      </c>
      <c r="D412" s="96">
        <v>355</v>
      </c>
      <c r="E412" s="96">
        <v>4338</v>
      </c>
      <c r="F412" s="96">
        <v>893</v>
      </c>
      <c r="G412" s="96">
        <v>5586</v>
      </c>
      <c r="H412" s="96">
        <v>0.77658431790000004</v>
      </c>
      <c r="I412" s="96">
        <v>0.1598639456</v>
      </c>
      <c r="J412" s="96">
        <v>6.3551736499999997E-2</v>
      </c>
    </row>
    <row r="413" spans="1:10">
      <c r="A413" s="96" t="s">
        <v>131</v>
      </c>
      <c r="B413" s="96" t="s">
        <v>124</v>
      </c>
      <c r="C413" s="96">
        <v>2008</v>
      </c>
      <c r="D413" s="96">
        <v>964</v>
      </c>
      <c r="E413" s="96">
        <v>7101</v>
      </c>
      <c r="F413" s="96">
        <v>420</v>
      </c>
      <c r="G413" s="96">
        <v>8485</v>
      </c>
      <c r="H413" s="96">
        <v>0.836888627</v>
      </c>
      <c r="I413" s="96">
        <v>4.9499116099999997E-2</v>
      </c>
      <c r="J413" s="96">
        <v>0.1136122569</v>
      </c>
    </row>
    <row r="414" spans="1:10">
      <c r="A414" s="96" t="s">
        <v>20</v>
      </c>
      <c r="B414" s="96" t="s">
        <v>124</v>
      </c>
      <c r="C414" s="96">
        <v>2008</v>
      </c>
      <c r="D414" s="96">
        <v>393</v>
      </c>
      <c r="E414" s="96">
        <v>19478</v>
      </c>
      <c r="F414" s="96">
        <v>3064</v>
      </c>
      <c r="G414" s="96">
        <v>22935</v>
      </c>
      <c r="H414" s="96">
        <v>0.84926967519999996</v>
      </c>
      <c r="I414" s="96">
        <v>0.13359494220000001</v>
      </c>
      <c r="J414" s="96">
        <v>1.7135382599999999E-2</v>
      </c>
    </row>
    <row r="415" spans="1:10">
      <c r="A415" s="96" t="s">
        <v>21</v>
      </c>
      <c r="B415" s="96" t="s">
        <v>124</v>
      </c>
      <c r="C415" s="96">
        <v>2008</v>
      </c>
      <c r="D415" s="96">
        <v>223</v>
      </c>
      <c r="E415" s="96">
        <v>5724</v>
      </c>
      <c r="F415" s="96">
        <v>1711</v>
      </c>
      <c r="G415" s="96">
        <v>7658</v>
      </c>
      <c r="H415" s="96">
        <v>0.74745364319999996</v>
      </c>
      <c r="I415" s="96">
        <v>0.22342648209999999</v>
      </c>
      <c r="J415" s="96">
        <v>2.9119874600000002E-2</v>
      </c>
    </row>
    <row r="416" spans="1:10">
      <c r="A416" s="96" t="s">
        <v>22</v>
      </c>
      <c r="B416" s="96" t="s">
        <v>124</v>
      </c>
      <c r="C416" s="96">
        <v>2008</v>
      </c>
      <c r="D416" s="96">
        <v>471</v>
      </c>
      <c r="E416" s="96">
        <v>8031</v>
      </c>
      <c r="F416" s="96">
        <v>581</v>
      </c>
      <c r="G416" s="96">
        <v>9083</v>
      </c>
      <c r="H416" s="96">
        <v>0.88417923590000003</v>
      </c>
      <c r="I416" s="96">
        <v>6.3965650099999993E-2</v>
      </c>
      <c r="J416" s="96">
        <v>5.1855113899999999E-2</v>
      </c>
    </row>
    <row r="417" spans="1:10">
      <c r="A417" s="96" t="s">
        <v>25</v>
      </c>
      <c r="B417" s="96" t="s">
        <v>111</v>
      </c>
      <c r="C417" s="96">
        <v>2009</v>
      </c>
      <c r="D417" s="96">
        <v>85</v>
      </c>
      <c r="E417" s="96">
        <v>4301</v>
      </c>
      <c r="F417" s="96">
        <v>108</v>
      </c>
      <c r="G417" s="96">
        <v>4494</v>
      </c>
      <c r="H417" s="96">
        <v>0.95705384959999995</v>
      </c>
      <c r="I417" s="96">
        <v>2.4032042699999999E-2</v>
      </c>
      <c r="J417" s="96">
        <v>1.8914107699999998E-2</v>
      </c>
    </row>
    <row r="418" spans="1:10">
      <c r="A418" s="96" t="s">
        <v>26</v>
      </c>
      <c r="B418" s="96" t="s">
        <v>111</v>
      </c>
      <c r="C418" s="96">
        <v>2009</v>
      </c>
      <c r="D418" s="96">
        <v>3</v>
      </c>
      <c r="E418" s="96">
        <v>3475</v>
      </c>
      <c r="F418" s="96">
        <v>7</v>
      </c>
      <c r="G418" s="96">
        <v>3485</v>
      </c>
      <c r="H418" s="96">
        <v>0.99713055949999996</v>
      </c>
      <c r="I418" s="96">
        <v>2.0086082999999999E-3</v>
      </c>
      <c r="J418" s="96">
        <v>8.6083209999999999E-4</v>
      </c>
    </row>
    <row r="419" spans="1:10">
      <c r="A419" s="96" t="s">
        <v>27</v>
      </c>
      <c r="B419" s="96" t="s">
        <v>111</v>
      </c>
      <c r="C419" s="96">
        <v>2009</v>
      </c>
      <c r="D419" s="96">
        <v>93</v>
      </c>
      <c r="E419" s="96">
        <v>5213</v>
      </c>
      <c r="F419" s="96">
        <v>39</v>
      </c>
      <c r="G419" s="96">
        <v>5345</v>
      </c>
      <c r="H419" s="96">
        <v>0.97530402250000003</v>
      </c>
      <c r="I419" s="96">
        <v>7.2965388000000003E-3</v>
      </c>
      <c r="J419" s="96">
        <v>1.7399438699999999E-2</v>
      </c>
    </row>
    <row r="420" spans="1:10">
      <c r="A420" s="96" t="s">
        <v>28</v>
      </c>
      <c r="B420" s="96" t="s">
        <v>111</v>
      </c>
      <c r="C420" s="96">
        <v>2009</v>
      </c>
      <c r="D420" s="96">
        <v>0</v>
      </c>
      <c r="E420" s="96">
        <v>1060</v>
      </c>
      <c r="F420" s="96">
        <v>36</v>
      </c>
      <c r="G420" s="96">
        <v>1096</v>
      </c>
      <c r="H420" s="96">
        <v>0.96715328469999995</v>
      </c>
      <c r="I420" s="96">
        <v>3.2846715300000003E-2</v>
      </c>
      <c r="J420" s="96">
        <v>0</v>
      </c>
    </row>
    <row r="421" spans="1:10">
      <c r="A421" s="96" t="s">
        <v>132</v>
      </c>
      <c r="B421" s="96" t="s">
        <v>111</v>
      </c>
      <c r="C421" s="96">
        <v>2009</v>
      </c>
      <c r="D421" s="96">
        <v>0</v>
      </c>
      <c r="E421" s="96">
        <v>2955</v>
      </c>
      <c r="F421" s="96">
        <v>9</v>
      </c>
      <c r="G421" s="96">
        <v>2964</v>
      </c>
      <c r="H421" s="96">
        <v>0.99696356279999998</v>
      </c>
      <c r="I421" s="96">
        <v>3.0364372E-3</v>
      </c>
      <c r="J421" s="96">
        <v>0</v>
      </c>
    </row>
    <row r="422" spans="1:10">
      <c r="A422" s="96" t="s">
        <v>133</v>
      </c>
      <c r="B422" s="96" t="s">
        <v>111</v>
      </c>
      <c r="C422" s="96">
        <v>2009</v>
      </c>
      <c r="D422" s="96">
        <v>0</v>
      </c>
      <c r="E422" s="96">
        <v>685</v>
      </c>
      <c r="F422" s="96">
        <v>20</v>
      </c>
      <c r="G422" s="96">
        <v>705</v>
      </c>
      <c r="H422" s="96">
        <v>0.97163120569999994</v>
      </c>
      <c r="I422" s="96">
        <v>2.83687943E-2</v>
      </c>
      <c r="J422" s="96">
        <v>0</v>
      </c>
    </row>
    <row r="423" spans="1:10">
      <c r="A423" s="96" t="s">
        <v>112</v>
      </c>
      <c r="B423" s="96" t="s">
        <v>111</v>
      </c>
      <c r="C423" s="96">
        <v>2009</v>
      </c>
      <c r="D423" s="96">
        <v>1</v>
      </c>
      <c r="E423" s="96">
        <v>5944</v>
      </c>
      <c r="F423" s="96">
        <v>43</v>
      </c>
      <c r="G423" s="96">
        <v>5988</v>
      </c>
      <c r="H423" s="96">
        <v>0.99265197059999999</v>
      </c>
      <c r="I423" s="96">
        <v>7.1810286999999997E-3</v>
      </c>
      <c r="J423" s="96">
        <v>1.6700069999999999E-4</v>
      </c>
    </row>
    <row r="424" spans="1:10">
      <c r="A424" s="96" t="s">
        <v>113</v>
      </c>
      <c r="B424" s="96" t="s">
        <v>111</v>
      </c>
      <c r="C424" s="96">
        <v>2009</v>
      </c>
      <c r="D424" s="96">
        <v>0</v>
      </c>
      <c r="E424" s="96">
        <v>4308</v>
      </c>
      <c r="F424" s="96">
        <v>38</v>
      </c>
      <c r="G424" s="96">
        <v>4346</v>
      </c>
      <c r="H424" s="96">
        <v>0.99125632770000005</v>
      </c>
      <c r="I424" s="96">
        <v>8.7436722999999997E-3</v>
      </c>
      <c r="J424" s="96">
        <v>0</v>
      </c>
    </row>
    <row r="425" spans="1:10">
      <c r="A425" s="96" t="s">
        <v>114</v>
      </c>
      <c r="B425" s="96" t="s">
        <v>111</v>
      </c>
      <c r="C425" s="96">
        <v>2009</v>
      </c>
      <c r="D425" s="96">
        <v>1</v>
      </c>
      <c r="E425" s="96">
        <v>4442</v>
      </c>
      <c r="F425" s="96">
        <v>159</v>
      </c>
      <c r="G425" s="96">
        <v>4602</v>
      </c>
      <c r="H425" s="96">
        <v>0.96523250760000001</v>
      </c>
      <c r="I425" s="96">
        <v>3.45501956E-2</v>
      </c>
      <c r="J425" s="96">
        <v>2.1729679999999999E-4</v>
      </c>
    </row>
    <row r="426" spans="1:10">
      <c r="A426" s="96" t="s">
        <v>115</v>
      </c>
      <c r="B426" s="96" t="s">
        <v>111</v>
      </c>
      <c r="C426" s="96">
        <v>2009</v>
      </c>
      <c r="D426" s="96">
        <v>61</v>
      </c>
      <c r="E426" s="96">
        <v>2395</v>
      </c>
      <c r="F426" s="96">
        <v>19</v>
      </c>
      <c r="G426" s="96">
        <v>2475</v>
      </c>
      <c r="H426" s="96">
        <v>0.9676767677</v>
      </c>
      <c r="I426" s="96">
        <v>7.6767676999999999E-3</v>
      </c>
      <c r="J426" s="96">
        <v>2.4646464600000001E-2</v>
      </c>
    </row>
    <row r="427" spans="1:10">
      <c r="A427" s="96" t="s">
        <v>37</v>
      </c>
      <c r="B427" s="96" t="s">
        <v>111</v>
      </c>
      <c r="C427" s="96">
        <v>2009</v>
      </c>
      <c r="D427" s="96">
        <v>133</v>
      </c>
      <c r="E427" s="96">
        <v>4307</v>
      </c>
      <c r="F427" s="96">
        <v>0</v>
      </c>
      <c r="G427" s="96">
        <v>4440</v>
      </c>
      <c r="H427" s="96">
        <v>0.97004504499999999</v>
      </c>
      <c r="I427" s="96">
        <v>0</v>
      </c>
      <c r="J427" s="96">
        <v>2.9954954999999998E-2</v>
      </c>
    </row>
    <row r="428" spans="1:10">
      <c r="A428" s="96" t="s">
        <v>116</v>
      </c>
      <c r="B428" s="96" t="s">
        <v>111</v>
      </c>
      <c r="C428" s="96">
        <v>2009</v>
      </c>
      <c r="D428" s="96">
        <v>182</v>
      </c>
      <c r="E428" s="96">
        <v>1586</v>
      </c>
      <c r="F428" s="96">
        <v>86</v>
      </c>
      <c r="G428" s="96">
        <v>1854</v>
      </c>
      <c r="H428" s="96">
        <v>0.85544768069999999</v>
      </c>
      <c r="I428" s="96">
        <v>4.6386192E-2</v>
      </c>
      <c r="J428" s="96">
        <v>9.8166127300000003E-2</v>
      </c>
    </row>
    <row r="429" spans="1:10">
      <c r="A429" s="96" t="s">
        <v>117</v>
      </c>
      <c r="B429" s="96" t="s">
        <v>111</v>
      </c>
      <c r="C429" s="96">
        <v>2009</v>
      </c>
      <c r="D429" s="96">
        <v>33</v>
      </c>
      <c r="E429" s="96">
        <v>1295</v>
      </c>
      <c r="F429" s="96">
        <v>0</v>
      </c>
      <c r="G429" s="96">
        <v>1328</v>
      </c>
      <c r="H429" s="96">
        <v>0.97515060239999996</v>
      </c>
      <c r="I429" s="96">
        <v>0</v>
      </c>
      <c r="J429" s="96">
        <v>2.48493976E-2</v>
      </c>
    </row>
    <row r="430" spans="1:10">
      <c r="A430" s="96" t="s">
        <v>118</v>
      </c>
      <c r="B430" s="96" t="s">
        <v>111</v>
      </c>
      <c r="C430" s="96">
        <v>2009</v>
      </c>
      <c r="D430" s="96">
        <v>43</v>
      </c>
      <c r="E430" s="96">
        <v>11907</v>
      </c>
      <c r="F430" s="96">
        <v>139</v>
      </c>
      <c r="G430" s="96">
        <v>12089</v>
      </c>
      <c r="H430" s="96">
        <v>0.98494499130000002</v>
      </c>
      <c r="I430" s="96">
        <v>1.1498056099999999E-2</v>
      </c>
      <c r="J430" s="96">
        <v>3.5569526000000001E-3</v>
      </c>
    </row>
    <row r="431" spans="1:10">
      <c r="A431" s="96" t="s">
        <v>119</v>
      </c>
      <c r="B431" s="96" t="s">
        <v>111</v>
      </c>
      <c r="C431" s="96">
        <v>2009</v>
      </c>
      <c r="D431" s="96">
        <v>76</v>
      </c>
      <c r="E431" s="96">
        <v>7768</v>
      </c>
      <c r="F431" s="96">
        <v>6</v>
      </c>
      <c r="G431" s="96">
        <v>7850</v>
      </c>
      <c r="H431" s="96">
        <v>0.98955414009999998</v>
      </c>
      <c r="I431" s="96">
        <v>7.643312E-4</v>
      </c>
      <c r="J431" s="96">
        <v>9.6815287000000007E-3</v>
      </c>
    </row>
    <row r="432" spans="1:10">
      <c r="A432" s="96" t="s">
        <v>120</v>
      </c>
      <c r="B432" s="96" t="s">
        <v>111</v>
      </c>
      <c r="C432" s="96">
        <v>2009</v>
      </c>
      <c r="D432" s="96">
        <v>0</v>
      </c>
      <c r="E432" s="96">
        <v>7210</v>
      </c>
      <c r="F432" s="96">
        <v>72</v>
      </c>
      <c r="G432" s="96">
        <v>7282</v>
      </c>
      <c r="H432" s="96">
        <v>0.99011260639999998</v>
      </c>
      <c r="I432" s="96">
        <v>9.8873936000000006E-3</v>
      </c>
      <c r="J432" s="96">
        <v>0</v>
      </c>
    </row>
    <row r="433" spans="1:10">
      <c r="A433" s="96" t="s">
        <v>121</v>
      </c>
      <c r="B433" s="96" t="s">
        <v>111</v>
      </c>
      <c r="C433" s="96">
        <v>2009</v>
      </c>
      <c r="D433" s="96">
        <v>3</v>
      </c>
      <c r="E433" s="96">
        <v>8068</v>
      </c>
      <c r="F433" s="96">
        <v>237</v>
      </c>
      <c r="G433" s="96">
        <v>8308</v>
      </c>
      <c r="H433" s="96">
        <v>0.97111218099999996</v>
      </c>
      <c r="I433" s="96">
        <v>2.8526721200000001E-2</v>
      </c>
      <c r="J433" s="96">
        <v>3.6109770000000002E-4</v>
      </c>
    </row>
    <row r="434" spans="1:10">
      <c r="A434" s="96" t="s">
        <v>122</v>
      </c>
      <c r="B434" s="96" t="s">
        <v>111</v>
      </c>
      <c r="C434" s="96">
        <v>2009</v>
      </c>
      <c r="D434" s="96">
        <v>1</v>
      </c>
      <c r="E434" s="96">
        <v>11294</v>
      </c>
      <c r="F434" s="96">
        <v>116</v>
      </c>
      <c r="G434" s="96">
        <v>11411</v>
      </c>
      <c r="H434" s="96">
        <v>0.98974673560000004</v>
      </c>
      <c r="I434" s="96">
        <v>1.01656297E-2</v>
      </c>
      <c r="J434" s="96">
        <v>8.7634700000000003E-5</v>
      </c>
    </row>
    <row r="435" spans="1:10">
      <c r="A435" s="96" t="s">
        <v>134</v>
      </c>
      <c r="B435" s="96" t="s">
        <v>111</v>
      </c>
      <c r="C435" s="96">
        <v>2009</v>
      </c>
      <c r="D435" s="96">
        <v>0</v>
      </c>
      <c r="E435" s="96">
        <v>1356</v>
      </c>
      <c r="F435" s="96">
        <v>2</v>
      </c>
      <c r="G435" s="96">
        <v>1358</v>
      </c>
      <c r="H435" s="96">
        <v>0.99852724589999997</v>
      </c>
      <c r="I435" s="96">
        <v>1.4727541E-3</v>
      </c>
      <c r="J435" s="96">
        <v>0</v>
      </c>
    </row>
    <row r="436" spans="1:10">
      <c r="A436" s="96" t="s">
        <v>40</v>
      </c>
      <c r="B436" s="96" t="s">
        <v>111</v>
      </c>
      <c r="C436" s="96">
        <v>2009</v>
      </c>
      <c r="D436" s="96">
        <v>53</v>
      </c>
      <c r="E436" s="96">
        <v>3886</v>
      </c>
      <c r="F436" s="96">
        <v>16</v>
      </c>
      <c r="G436" s="96">
        <v>3955</v>
      </c>
      <c r="H436" s="96">
        <v>0.98255372949999997</v>
      </c>
      <c r="I436" s="96">
        <v>4.0455120000000002E-3</v>
      </c>
      <c r="J436" s="96">
        <v>1.34007585E-2</v>
      </c>
    </row>
    <row r="437" spans="1:10">
      <c r="A437" s="96" t="s">
        <v>45</v>
      </c>
      <c r="B437" s="96" t="s">
        <v>111</v>
      </c>
      <c r="C437" s="96">
        <v>2009</v>
      </c>
      <c r="D437" s="96">
        <v>6</v>
      </c>
      <c r="E437" s="96">
        <v>3148</v>
      </c>
      <c r="F437" s="96">
        <v>95</v>
      </c>
      <c r="G437" s="96">
        <v>3249</v>
      </c>
      <c r="H437" s="96">
        <v>0.96891351179999996</v>
      </c>
      <c r="I437" s="96">
        <v>2.9239766100000002E-2</v>
      </c>
      <c r="J437" s="96">
        <v>1.8467220999999999E-3</v>
      </c>
    </row>
    <row r="438" spans="1:10">
      <c r="A438" s="96" t="s">
        <v>123</v>
      </c>
      <c r="B438" s="96" t="s">
        <v>124</v>
      </c>
      <c r="C438" s="96">
        <v>2009</v>
      </c>
      <c r="D438" s="96">
        <v>172</v>
      </c>
      <c r="E438" s="96">
        <v>1714</v>
      </c>
      <c r="F438" s="96">
        <v>0</v>
      </c>
      <c r="G438" s="96">
        <v>1886</v>
      </c>
      <c r="H438" s="96">
        <v>0.90880169669999999</v>
      </c>
      <c r="I438" s="96">
        <v>0</v>
      </c>
      <c r="J438" s="96">
        <v>9.1198303300000005E-2</v>
      </c>
    </row>
    <row r="439" spans="1:10">
      <c r="A439" s="96" t="s">
        <v>14</v>
      </c>
      <c r="B439" s="96" t="s">
        <v>124</v>
      </c>
      <c r="C439" s="96">
        <v>2009</v>
      </c>
      <c r="D439" s="96">
        <v>108</v>
      </c>
      <c r="E439" s="96">
        <v>2201</v>
      </c>
      <c r="F439" s="96">
        <v>368</v>
      </c>
      <c r="G439" s="96">
        <v>2677</v>
      </c>
      <c r="H439" s="96">
        <v>0.82218901759999996</v>
      </c>
      <c r="I439" s="96">
        <v>0.1374673142</v>
      </c>
      <c r="J439" s="96">
        <v>4.0343668300000003E-2</v>
      </c>
    </row>
    <row r="440" spans="1:10">
      <c r="A440" s="96" t="s">
        <v>125</v>
      </c>
      <c r="B440" s="96" t="s">
        <v>124</v>
      </c>
      <c r="C440" s="96">
        <v>2009</v>
      </c>
      <c r="D440" s="96">
        <v>297</v>
      </c>
      <c r="E440" s="96">
        <v>4739</v>
      </c>
      <c r="F440" s="96">
        <v>483</v>
      </c>
      <c r="G440" s="96">
        <v>5519</v>
      </c>
      <c r="H440" s="96">
        <v>0.85867004889999998</v>
      </c>
      <c r="I440" s="96">
        <v>8.7515854300000001E-2</v>
      </c>
      <c r="J440" s="96">
        <v>5.3814096800000003E-2</v>
      </c>
    </row>
    <row r="441" spans="1:10">
      <c r="A441" s="96" t="s">
        <v>126</v>
      </c>
      <c r="B441" s="96" t="s">
        <v>124</v>
      </c>
      <c r="C441" s="96">
        <v>2009</v>
      </c>
      <c r="D441" s="96">
        <v>531</v>
      </c>
      <c r="E441" s="96">
        <v>13666</v>
      </c>
      <c r="F441" s="96">
        <v>916</v>
      </c>
      <c r="G441" s="96">
        <v>15113</v>
      </c>
      <c r="H441" s="96">
        <v>0.90425461519999994</v>
      </c>
      <c r="I441" s="96">
        <v>6.0610070799999999E-2</v>
      </c>
      <c r="J441" s="96">
        <v>3.5135314000000001E-2</v>
      </c>
    </row>
    <row r="442" spans="1:10">
      <c r="A442" s="96" t="s">
        <v>127</v>
      </c>
      <c r="B442" s="96" t="s">
        <v>124</v>
      </c>
      <c r="C442" s="96">
        <v>2009</v>
      </c>
      <c r="D442" s="96">
        <v>165</v>
      </c>
      <c r="E442" s="96">
        <v>4325</v>
      </c>
      <c r="F442" s="96">
        <v>709</v>
      </c>
      <c r="G442" s="96">
        <v>5199</v>
      </c>
      <c r="H442" s="96">
        <v>0.83189074819999997</v>
      </c>
      <c r="I442" s="96">
        <v>0.13637237930000001</v>
      </c>
      <c r="J442" s="96">
        <v>3.1736872499999999E-2</v>
      </c>
    </row>
    <row r="443" spans="1:10">
      <c r="A443" s="96" t="s">
        <v>128</v>
      </c>
      <c r="B443" s="96" t="s">
        <v>124</v>
      </c>
      <c r="C443" s="96">
        <v>2009</v>
      </c>
      <c r="D443" s="96">
        <v>21</v>
      </c>
      <c r="E443" s="96">
        <v>4846</v>
      </c>
      <c r="F443" s="96">
        <v>321</v>
      </c>
      <c r="G443" s="96">
        <v>5188</v>
      </c>
      <c r="H443" s="96">
        <v>0.93407864299999999</v>
      </c>
      <c r="I443" s="96">
        <v>6.1873554400000003E-2</v>
      </c>
      <c r="J443" s="96">
        <v>4.0478025999999999E-3</v>
      </c>
    </row>
    <row r="444" spans="1:10">
      <c r="A444" s="96" t="s">
        <v>129</v>
      </c>
      <c r="B444" s="96" t="s">
        <v>124</v>
      </c>
      <c r="C444" s="96">
        <v>2009</v>
      </c>
      <c r="D444" s="96">
        <v>266</v>
      </c>
      <c r="E444" s="96">
        <v>4602</v>
      </c>
      <c r="F444" s="96">
        <v>905</v>
      </c>
      <c r="G444" s="96">
        <v>5773</v>
      </c>
      <c r="H444" s="96">
        <v>0.79715918929999996</v>
      </c>
      <c r="I444" s="96">
        <v>0.1567642474</v>
      </c>
      <c r="J444" s="96">
        <v>4.6076563299999998E-2</v>
      </c>
    </row>
    <row r="445" spans="1:10">
      <c r="A445" s="96" t="s">
        <v>130</v>
      </c>
      <c r="B445" s="96" t="s">
        <v>124</v>
      </c>
      <c r="C445" s="96">
        <v>2009</v>
      </c>
      <c r="D445" s="96">
        <v>298</v>
      </c>
      <c r="E445" s="96">
        <v>7708</v>
      </c>
      <c r="F445" s="96">
        <v>970</v>
      </c>
      <c r="G445" s="96">
        <v>8976</v>
      </c>
      <c r="H445" s="96">
        <v>0.85873440290000003</v>
      </c>
      <c r="I445" s="96">
        <v>0.10806595369999999</v>
      </c>
      <c r="J445" s="96">
        <v>3.3199643500000001E-2</v>
      </c>
    </row>
    <row r="446" spans="1:10">
      <c r="A446" s="96" t="s">
        <v>19</v>
      </c>
      <c r="B446" s="96" t="s">
        <v>124</v>
      </c>
      <c r="C446" s="96">
        <v>2009</v>
      </c>
      <c r="D446" s="96">
        <v>334</v>
      </c>
      <c r="E446" s="96">
        <v>4307</v>
      </c>
      <c r="F446" s="96">
        <v>828</v>
      </c>
      <c r="G446" s="96">
        <v>5469</v>
      </c>
      <c r="H446" s="96">
        <v>0.78752971289999996</v>
      </c>
      <c r="I446" s="96">
        <v>0.15139879319999999</v>
      </c>
      <c r="J446" s="96">
        <v>6.1071493900000003E-2</v>
      </c>
    </row>
    <row r="447" spans="1:10">
      <c r="A447" s="96" t="s">
        <v>131</v>
      </c>
      <c r="B447" s="96" t="s">
        <v>124</v>
      </c>
      <c r="C447" s="96">
        <v>2009</v>
      </c>
      <c r="D447" s="96">
        <v>821</v>
      </c>
      <c r="E447" s="96">
        <v>7261</v>
      </c>
      <c r="F447" s="96">
        <v>464</v>
      </c>
      <c r="G447" s="96">
        <v>8546</v>
      </c>
      <c r="H447" s="96">
        <v>0.84963725720000005</v>
      </c>
      <c r="I447" s="96">
        <v>5.4294406699999999E-2</v>
      </c>
      <c r="J447" s="96">
        <v>9.6068336099999999E-2</v>
      </c>
    </row>
    <row r="448" spans="1:10">
      <c r="A448" s="96" t="s">
        <v>20</v>
      </c>
      <c r="B448" s="96" t="s">
        <v>124</v>
      </c>
      <c r="C448" s="96">
        <v>2009</v>
      </c>
      <c r="D448" s="96">
        <v>461</v>
      </c>
      <c r="E448" s="96">
        <v>19814</v>
      </c>
      <c r="F448" s="96">
        <v>3499</v>
      </c>
      <c r="G448" s="96">
        <v>23774</v>
      </c>
      <c r="H448" s="96">
        <v>0.83343147979999999</v>
      </c>
      <c r="I448" s="96">
        <v>0.147177589</v>
      </c>
      <c r="J448" s="96">
        <v>1.9390931300000001E-2</v>
      </c>
    </row>
    <row r="449" spans="1:10">
      <c r="A449" s="96" t="s">
        <v>21</v>
      </c>
      <c r="B449" s="96" t="s">
        <v>124</v>
      </c>
      <c r="C449" s="96">
        <v>2009</v>
      </c>
      <c r="D449" s="96">
        <v>244</v>
      </c>
      <c r="E449" s="96">
        <v>5957</v>
      </c>
      <c r="F449" s="96">
        <v>1814</v>
      </c>
      <c r="G449" s="96">
        <v>8015</v>
      </c>
      <c r="H449" s="96">
        <v>0.74323144100000005</v>
      </c>
      <c r="I449" s="96">
        <v>0.2263256394</v>
      </c>
      <c r="J449" s="96">
        <v>3.0442919499999999E-2</v>
      </c>
    </row>
    <row r="450" spans="1:10">
      <c r="A450" s="96" t="s">
        <v>22</v>
      </c>
      <c r="B450" s="96" t="s">
        <v>124</v>
      </c>
      <c r="C450" s="96">
        <v>2009</v>
      </c>
      <c r="D450" s="96">
        <v>315</v>
      </c>
      <c r="E450" s="96">
        <v>8387</v>
      </c>
      <c r="F450" s="96">
        <v>616</v>
      </c>
      <c r="G450" s="96">
        <v>9318</v>
      </c>
      <c r="H450" s="96">
        <v>0.90008585529999996</v>
      </c>
      <c r="I450" s="96">
        <v>6.6108607E-2</v>
      </c>
      <c r="J450" s="96">
        <v>3.3805537699999999E-2</v>
      </c>
    </row>
    <row r="451" spans="1:10">
      <c r="A451" s="96" t="s">
        <v>135</v>
      </c>
      <c r="B451" s="96" t="s">
        <v>111</v>
      </c>
      <c r="C451" s="96">
        <v>1996</v>
      </c>
      <c r="D451" s="96">
        <v>558</v>
      </c>
      <c r="E451" s="96">
        <v>67663</v>
      </c>
      <c r="F451" s="96">
        <v>1319</v>
      </c>
      <c r="G451" s="96">
        <v>69540</v>
      </c>
      <c r="H451" s="96">
        <v>0.97300834049999996</v>
      </c>
      <c r="I451" s="96">
        <v>1.8967500700000001E-2</v>
      </c>
      <c r="J451" s="96">
        <v>8.0241588000000003E-3</v>
      </c>
    </row>
    <row r="452" spans="1:10">
      <c r="A452" s="96" t="s">
        <v>135</v>
      </c>
      <c r="B452" s="96" t="s">
        <v>124</v>
      </c>
      <c r="C452" s="96">
        <v>1996</v>
      </c>
      <c r="D452" s="96">
        <v>5762</v>
      </c>
      <c r="E452" s="96">
        <v>78542</v>
      </c>
      <c r="F452" s="96">
        <v>8153</v>
      </c>
      <c r="G452" s="96">
        <v>92457</v>
      </c>
      <c r="H452" s="96">
        <v>0.84949760429999999</v>
      </c>
      <c r="I452" s="96">
        <v>8.8181533000000006E-2</v>
      </c>
      <c r="J452" s="96">
        <v>6.23208627E-2</v>
      </c>
    </row>
    <row r="453" spans="1:10">
      <c r="A453" s="96" t="s">
        <v>135</v>
      </c>
      <c r="B453" s="96" t="s">
        <v>111</v>
      </c>
      <c r="C453" s="96">
        <v>1997</v>
      </c>
      <c r="D453" s="96">
        <v>668</v>
      </c>
      <c r="E453" s="96">
        <v>68238</v>
      </c>
      <c r="F453" s="96">
        <v>1293</v>
      </c>
      <c r="G453" s="96">
        <v>70199</v>
      </c>
      <c r="H453" s="96">
        <v>0.97206512909999998</v>
      </c>
      <c r="I453" s="96">
        <v>1.8419065799999999E-2</v>
      </c>
      <c r="J453" s="96">
        <v>9.5158051E-3</v>
      </c>
    </row>
    <row r="454" spans="1:10">
      <c r="A454" s="96" t="s">
        <v>135</v>
      </c>
      <c r="B454" s="96" t="s">
        <v>124</v>
      </c>
      <c r="C454" s="96">
        <v>1997</v>
      </c>
      <c r="D454" s="96">
        <v>4762</v>
      </c>
      <c r="E454" s="96">
        <v>79134</v>
      </c>
      <c r="F454" s="96">
        <v>8471</v>
      </c>
      <c r="G454" s="96">
        <v>92367</v>
      </c>
      <c r="H454" s="96">
        <v>0.85673454810000005</v>
      </c>
      <c r="I454" s="96">
        <v>9.1710242799999994E-2</v>
      </c>
      <c r="J454" s="96">
        <v>5.1555209099999999E-2</v>
      </c>
    </row>
    <row r="455" spans="1:10">
      <c r="A455" s="96" t="s">
        <v>135</v>
      </c>
      <c r="B455" s="96" t="s">
        <v>111</v>
      </c>
      <c r="C455" s="96">
        <v>1998</v>
      </c>
      <c r="D455" s="96">
        <v>761</v>
      </c>
      <c r="E455" s="96">
        <v>67776</v>
      </c>
      <c r="F455" s="96">
        <v>1245</v>
      </c>
      <c r="G455" s="96">
        <v>69782</v>
      </c>
      <c r="H455" s="96">
        <v>0.97125333179999995</v>
      </c>
      <c r="I455" s="96">
        <v>1.78412771E-2</v>
      </c>
      <c r="J455" s="96">
        <v>1.09053911E-2</v>
      </c>
    </row>
    <row r="456" spans="1:10">
      <c r="A456" s="96" t="s">
        <v>135</v>
      </c>
      <c r="B456" s="96" t="s">
        <v>124</v>
      </c>
      <c r="C456" s="96">
        <v>1998</v>
      </c>
      <c r="D456" s="96">
        <v>3991</v>
      </c>
      <c r="E456" s="96">
        <v>80076</v>
      </c>
      <c r="F456" s="96">
        <v>8845</v>
      </c>
      <c r="G456" s="96">
        <v>92912</v>
      </c>
      <c r="H456" s="96">
        <v>0.8618477699</v>
      </c>
      <c r="I456" s="96">
        <v>9.5197606300000001E-2</v>
      </c>
      <c r="J456" s="96">
        <v>4.29546237E-2</v>
      </c>
    </row>
    <row r="457" spans="1:10">
      <c r="A457" s="96" t="s">
        <v>135</v>
      </c>
      <c r="B457" s="96" t="s">
        <v>111</v>
      </c>
      <c r="C457" s="96">
        <v>1999</v>
      </c>
      <c r="D457" s="96">
        <v>1682</v>
      </c>
      <c r="E457" s="96">
        <v>71273</v>
      </c>
      <c r="F457" s="96">
        <v>1355</v>
      </c>
      <c r="G457" s="96">
        <v>74310</v>
      </c>
      <c r="H457" s="96">
        <v>0.95913066879999997</v>
      </c>
      <c r="I457" s="96">
        <v>1.8234423400000001E-2</v>
      </c>
      <c r="J457" s="96">
        <v>2.26349078E-2</v>
      </c>
    </row>
    <row r="458" spans="1:10">
      <c r="A458" s="96" t="s">
        <v>135</v>
      </c>
      <c r="B458" s="96" t="s">
        <v>124</v>
      </c>
      <c r="C458" s="96">
        <v>1999</v>
      </c>
      <c r="D458" s="96">
        <v>3387</v>
      </c>
      <c r="E458" s="96">
        <v>81028</v>
      </c>
      <c r="F458" s="96">
        <v>9047</v>
      </c>
      <c r="G458" s="96">
        <v>93462</v>
      </c>
      <c r="H458" s="96">
        <v>0.86696197389999996</v>
      </c>
      <c r="I458" s="96">
        <v>9.6798698899999994E-2</v>
      </c>
      <c r="J458" s="96">
        <v>3.6239327199999997E-2</v>
      </c>
    </row>
    <row r="459" spans="1:10">
      <c r="A459" s="96" t="s">
        <v>135</v>
      </c>
      <c r="B459" s="96" t="s">
        <v>111</v>
      </c>
      <c r="C459" s="96">
        <v>2000</v>
      </c>
      <c r="D459" s="96">
        <v>4113</v>
      </c>
      <c r="E459" s="96">
        <v>66180</v>
      </c>
      <c r="F459" s="96">
        <v>1253</v>
      </c>
      <c r="G459" s="96">
        <v>71546</v>
      </c>
      <c r="H459" s="96">
        <v>0.92499930109999995</v>
      </c>
      <c r="I459" s="96">
        <v>1.7513208299999999E-2</v>
      </c>
      <c r="J459" s="96">
        <v>5.7487490600000003E-2</v>
      </c>
    </row>
    <row r="460" spans="1:10">
      <c r="A460" s="96" t="s">
        <v>135</v>
      </c>
      <c r="B460" s="96" t="s">
        <v>124</v>
      </c>
      <c r="C460" s="96">
        <v>2000</v>
      </c>
      <c r="D460" s="96">
        <v>3153</v>
      </c>
      <c r="E460" s="96">
        <v>81695</v>
      </c>
      <c r="F460" s="96">
        <v>9117</v>
      </c>
      <c r="G460" s="96">
        <v>93965</v>
      </c>
      <c r="H460" s="96">
        <v>0.86941946469999998</v>
      </c>
      <c r="I460" s="96">
        <v>9.7025488199999996E-2</v>
      </c>
      <c r="J460" s="96">
        <v>3.3555047099999999E-2</v>
      </c>
    </row>
    <row r="461" spans="1:10">
      <c r="A461" s="96" t="s">
        <v>135</v>
      </c>
      <c r="B461" s="96" t="s">
        <v>111</v>
      </c>
      <c r="C461" s="96">
        <v>2001</v>
      </c>
      <c r="D461" s="96">
        <v>846</v>
      </c>
      <c r="E461" s="96">
        <v>76102</v>
      </c>
      <c r="F461" s="96">
        <v>993</v>
      </c>
      <c r="G461" s="96">
        <v>77941</v>
      </c>
      <c r="H461" s="96">
        <v>0.97640522959999998</v>
      </c>
      <c r="I461" s="96">
        <v>1.27404062E-2</v>
      </c>
      <c r="J461" s="96">
        <v>1.0854364199999999E-2</v>
      </c>
    </row>
    <row r="462" spans="1:10">
      <c r="A462" s="96" t="s">
        <v>135</v>
      </c>
      <c r="B462" s="96" t="s">
        <v>124</v>
      </c>
      <c r="C462" s="96">
        <v>2001</v>
      </c>
      <c r="D462" s="96">
        <v>3216</v>
      </c>
      <c r="E462" s="96">
        <v>82895</v>
      </c>
      <c r="F462" s="96">
        <v>9082</v>
      </c>
      <c r="G462" s="96">
        <v>95193</v>
      </c>
      <c r="H462" s="96">
        <v>0.87080982849999999</v>
      </c>
      <c r="I462" s="96">
        <v>9.5406174799999993E-2</v>
      </c>
      <c r="J462" s="96">
        <v>3.3783996699999999E-2</v>
      </c>
    </row>
    <row r="463" spans="1:10">
      <c r="A463" s="96" t="s">
        <v>135</v>
      </c>
      <c r="B463" s="96" t="s">
        <v>111</v>
      </c>
      <c r="C463" s="96">
        <v>2002</v>
      </c>
      <c r="D463" s="96">
        <v>579</v>
      </c>
      <c r="E463" s="96">
        <v>79845</v>
      </c>
      <c r="F463" s="96">
        <v>519</v>
      </c>
      <c r="G463" s="96">
        <v>80943</v>
      </c>
      <c r="H463" s="96">
        <v>0.9864348986</v>
      </c>
      <c r="I463" s="96">
        <v>6.4119195E-3</v>
      </c>
      <c r="J463" s="96">
        <v>7.1531818999999996E-3</v>
      </c>
    </row>
    <row r="464" spans="1:10">
      <c r="A464" s="96" t="s">
        <v>135</v>
      </c>
      <c r="B464" s="96" t="s">
        <v>124</v>
      </c>
      <c r="C464" s="96">
        <v>2002</v>
      </c>
      <c r="D464" s="96">
        <v>3264</v>
      </c>
      <c r="E464" s="96">
        <v>83940</v>
      </c>
      <c r="F464" s="96">
        <v>9496</v>
      </c>
      <c r="G464" s="96">
        <v>96700</v>
      </c>
      <c r="H464" s="96">
        <v>0.86804550160000005</v>
      </c>
      <c r="I464" s="96">
        <v>9.8200620500000002E-2</v>
      </c>
      <c r="J464" s="96">
        <v>3.3753878000000001E-2</v>
      </c>
    </row>
    <row r="465" spans="1:10">
      <c r="A465" s="96" t="s">
        <v>135</v>
      </c>
      <c r="B465" s="96" t="s">
        <v>111</v>
      </c>
      <c r="C465" s="96">
        <v>2003</v>
      </c>
      <c r="D465" s="96">
        <v>3758</v>
      </c>
      <c r="E465" s="96">
        <v>78530</v>
      </c>
      <c r="F465" s="96">
        <v>1184</v>
      </c>
      <c r="G465" s="96">
        <v>83472</v>
      </c>
      <c r="H465" s="96">
        <v>0.94079451790000002</v>
      </c>
      <c r="I465" s="96">
        <v>1.4184397200000001E-2</v>
      </c>
      <c r="J465" s="96">
        <v>4.5021084900000001E-2</v>
      </c>
    </row>
    <row r="466" spans="1:10">
      <c r="A466" s="96" t="s">
        <v>135</v>
      </c>
      <c r="B466" s="96" t="s">
        <v>124</v>
      </c>
      <c r="C466" s="96">
        <v>2003</v>
      </c>
      <c r="D466" s="96">
        <v>3050</v>
      </c>
      <c r="E466" s="96">
        <v>83813</v>
      </c>
      <c r="F466" s="96">
        <v>9824</v>
      </c>
      <c r="G466" s="96">
        <v>96687</v>
      </c>
      <c r="H466" s="96">
        <v>0.86684869730000003</v>
      </c>
      <c r="I466" s="96">
        <v>0.10160621390000001</v>
      </c>
      <c r="J466" s="96">
        <v>3.1545088800000003E-2</v>
      </c>
    </row>
    <row r="467" spans="1:10">
      <c r="A467" s="96" t="s">
        <v>135</v>
      </c>
      <c r="B467" s="96" t="s">
        <v>111</v>
      </c>
      <c r="C467" s="96">
        <v>2004</v>
      </c>
      <c r="D467" s="96">
        <v>2363</v>
      </c>
      <c r="E467" s="96">
        <v>78478</v>
      </c>
      <c r="F467" s="96">
        <v>1286</v>
      </c>
      <c r="G467" s="96">
        <v>82127</v>
      </c>
      <c r="H467" s="96">
        <v>0.95556881419999995</v>
      </c>
      <c r="I467" s="96">
        <v>1.5658675E-2</v>
      </c>
      <c r="J467" s="96">
        <v>2.8772510899999999E-2</v>
      </c>
    </row>
    <row r="468" spans="1:10">
      <c r="A468" s="96" t="s">
        <v>135</v>
      </c>
      <c r="B468" s="96" t="s">
        <v>124</v>
      </c>
      <c r="C468" s="96">
        <v>2004</v>
      </c>
      <c r="D468" s="96">
        <v>3291</v>
      </c>
      <c r="E468" s="96">
        <v>84118</v>
      </c>
      <c r="F468" s="96">
        <v>9955</v>
      </c>
      <c r="G468" s="96">
        <v>97364</v>
      </c>
      <c r="H468" s="96">
        <v>0.86395382279999999</v>
      </c>
      <c r="I468" s="96">
        <v>0.102245183</v>
      </c>
      <c r="J468" s="96">
        <v>3.3800994199999997E-2</v>
      </c>
    </row>
    <row r="469" spans="1:10">
      <c r="A469" s="96" t="s">
        <v>135</v>
      </c>
      <c r="B469" s="96" t="s">
        <v>111</v>
      </c>
      <c r="C469" s="96">
        <v>2005</v>
      </c>
      <c r="D469" s="96">
        <v>1709</v>
      </c>
      <c r="E469" s="96">
        <v>78632</v>
      </c>
      <c r="F469" s="96">
        <v>1276</v>
      </c>
      <c r="G469" s="96">
        <v>81617</v>
      </c>
      <c r="H469" s="96">
        <v>0.96342673710000004</v>
      </c>
      <c r="I469" s="96">
        <v>1.56339978E-2</v>
      </c>
      <c r="J469" s="96">
        <v>2.09392651E-2</v>
      </c>
    </row>
    <row r="470" spans="1:10">
      <c r="A470" s="96" t="s">
        <v>135</v>
      </c>
      <c r="B470" s="96" t="s">
        <v>124</v>
      </c>
      <c r="C470" s="96">
        <v>2005</v>
      </c>
      <c r="D470" s="96">
        <v>3472</v>
      </c>
      <c r="E470" s="96">
        <v>84917</v>
      </c>
      <c r="F470" s="96">
        <v>10346</v>
      </c>
      <c r="G470" s="96">
        <v>98735</v>
      </c>
      <c r="H470" s="96">
        <v>0.86004962780000005</v>
      </c>
      <c r="I470" s="96">
        <v>0.104785537</v>
      </c>
      <c r="J470" s="96">
        <v>3.5164835200000001E-2</v>
      </c>
    </row>
    <row r="471" spans="1:10">
      <c r="A471" s="96" t="s">
        <v>135</v>
      </c>
      <c r="B471" s="96" t="s">
        <v>111</v>
      </c>
      <c r="C471" s="96">
        <v>2006</v>
      </c>
      <c r="D471" s="96">
        <v>3001</v>
      </c>
      <c r="E471" s="96">
        <v>76894</v>
      </c>
      <c r="F471" s="96">
        <v>1351</v>
      </c>
      <c r="G471" s="96">
        <v>81246</v>
      </c>
      <c r="H471" s="96">
        <v>0.94643428600000001</v>
      </c>
      <c r="I471" s="96">
        <v>1.6628510900000001E-2</v>
      </c>
      <c r="J471" s="96">
        <v>3.6937203100000003E-2</v>
      </c>
    </row>
    <row r="472" spans="1:10">
      <c r="A472" s="96" t="s">
        <v>135</v>
      </c>
      <c r="B472" s="96" t="s">
        <v>124</v>
      </c>
      <c r="C472" s="96">
        <v>2006</v>
      </c>
      <c r="D472" s="96">
        <v>2484</v>
      </c>
      <c r="E472" s="96">
        <v>86160</v>
      </c>
      <c r="F472" s="96">
        <v>10462</v>
      </c>
      <c r="G472" s="96">
        <v>99106</v>
      </c>
      <c r="H472" s="96">
        <v>0.8693721874</v>
      </c>
      <c r="I472" s="96">
        <v>0.1055637398</v>
      </c>
      <c r="J472" s="96">
        <v>2.50640728E-2</v>
      </c>
    </row>
    <row r="473" spans="1:10">
      <c r="A473" s="96" t="s">
        <v>135</v>
      </c>
      <c r="B473" s="96" t="s">
        <v>111</v>
      </c>
      <c r="C473" s="96">
        <v>2007</v>
      </c>
      <c r="D473" s="96">
        <v>466</v>
      </c>
      <c r="E473" s="96">
        <v>82013</v>
      </c>
      <c r="F473" s="96">
        <v>1298</v>
      </c>
      <c r="G473" s="96">
        <v>83777</v>
      </c>
      <c r="H473" s="96">
        <v>0.97894410160000001</v>
      </c>
      <c r="I473" s="96">
        <v>1.5493512500000001E-2</v>
      </c>
      <c r="J473" s="96">
        <v>5.5623859000000003E-3</v>
      </c>
    </row>
    <row r="474" spans="1:10">
      <c r="A474" s="96" t="s">
        <v>135</v>
      </c>
      <c r="B474" s="96" t="s">
        <v>124</v>
      </c>
      <c r="C474" s="96">
        <v>2007</v>
      </c>
      <c r="D474" s="96">
        <v>4730</v>
      </c>
      <c r="E474" s="96">
        <v>84585</v>
      </c>
      <c r="F474" s="96">
        <v>10634</v>
      </c>
      <c r="G474" s="96">
        <v>99949</v>
      </c>
      <c r="H474" s="96">
        <v>0.84628160360000004</v>
      </c>
      <c r="I474" s="96">
        <v>0.1063942611</v>
      </c>
      <c r="J474" s="96">
        <v>4.73241353E-2</v>
      </c>
    </row>
    <row r="475" spans="1:10">
      <c r="A475" s="96" t="s">
        <v>135</v>
      </c>
      <c r="B475" s="96" t="s">
        <v>111</v>
      </c>
      <c r="C475" s="96">
        <v>2008</v>
      </c>
      <c r="D475" s="96">
        <v>4410</v>
      </c>
      <c r="E475" s="96">
        <v>81069</v>
      </c>
      <c r="F475" s="96">
        <v>1397</v>
      </c>
      <c r="G475" s="96">
        <v>86876</v>
      </c>
      <c r="H475" s="96">
        <v>0.93315760390000002</v>
      </c>
      <c r="I475" s="96">
        <v>1.6080390399999998E-2</v>
      </c>
      <c r="J475" s="96">
        <v>5.07620056E-2</v>
      </c>
    </row>
    <row r="476" spans="1:10">
      <c r="A476" s="96" t="s">
        <v>135</v>
      </c>
      <c r="B476" s="96" t="s">
        <v>124</v>
      </c>
      <c r="C476" s="96">
        <v>2008</v>
      </c>
      <c r="D476" s="96">
        <v>4767</v>
      </c>
      <c r="E476" s="96">
        <v>86471</v>
      </c>
      <c r="F476" s="96">
        <v>10753</v>
      </c>
      <c r="G476" s="96">
        <v>101991</v>
      </c>
      <c r="H476" s="96">
        <v>0.8478297105</v>
      </c>
      <c r="I476" s="96">
        <v>0.1054308714</v>
      </c>
      <c r="J476" s="96">
        <v>4.6739418200000001E-2</v>
      </c>
    </row>
    <row r="477" spans="1:10">
      <c r="A477" s="96" t="s">
        <v>135</v>
      </c>
      <c r="B477" s="96" t="s">
        <v>111</v>
      </c>
      <c r="C477" s="96">
        <v>2009</v>
      </c>
      <c r="D477" s="96">
        <v>774</v>
      </c>
      <c r="E477" s="96">
        <v>96603</v>
      </c>
      <c r="F477" s="96">
        <v>1247</v>
      </c>
      <c r="G477" s="96">
        <v>98624</v>
      </c>
      <c r="H477" s="96">
        <v>0.97950803050000002</v>
      </c>
      <c r="I477" s="96">
        <v>1.26439812E-2</v>
      </c>
      <c r="J477" s="96">
        <v>7.8479883000000007E-3</v>
      </c>
    </row>
    <row r="478" spans="1:10">
      <c r="A478" s="96" t="s">
        <v>135</v>
      </c>
      <c r="B478" s="96" t="s">
        <v>124</v>
      </c>
      <c r="C478" s="96">
        <v>2009</v>
      </c>
      <c r="D478" s="96">
        <v>4033</v>
      </c>
      <c r="E478" s="96">
        <v>89527</v>
      </c>
      <c r="F478" s="96">
        <v>11893</v>
      </c>
      <c r="G478" s="96">
        <v>105453</v>
      </c>
      <c r="H478" s="96">
        <v>0.84897537290000002</v>
      </c>
      <c r="I478" s="96">
        <v>0.1127801011</v>
      </c>
      <c r="J478" s="96">
        <v>3.8244526000000001E-2</v>
      </c>
    </row>
    <row r="479" spans="1:10">
      <c r="A479" s="96" t="s">
        <v>136</v>
      </c>
      <c r="B479" s="96" t="s">
        <v>137</v>
      </c>
      <c r="C479" s="96">
        <v>1996</v>
      </c>
      <c r="D479" s="96">
        <v>6320</v>
      </c>
      <c r="E479" s="96">
        <v>146205</v>
      </c>
      <c r="F479" s="96">
        <v>9472</v>
      </c>
      <c r="G479" s="96">
        <v>161997</v>
      </c>
      <c r="H479" s="96">
        <v>0.90251671330000005</v>
      </c>
      <c r="I479" s="96">
        <v>5.8470218599999998E-2</v>
      </c>
      <c r="J479" s="96">
        <v>3.9013068099999999E-2</v>
      </c>
    </row>
    <row r="480" spans="1:10">
      <c r="A480" s="96" t="s">
        <v>136</v>
      </c>
      <c r="B480" s="96" t="s">
        <v>137</v>
      </c>
      <c r="C480" s="96">
        <v>1997</v>
      </c>
      <c r="D480" s="96">
        <v>5430</v>
      </c>
      <c r="E480" s="96">
        <v>147372</v>
      </c>
      <c r="F480" s="96">
        <v>9764</v>
      </c>
      <c r="G480" s="96">
        <v>162566</v>
      </c>
      <c r="H480" s="96">
        <v>0.90653642209999996</v>
      </c>
      <c r="I480" s="96">
        <v>6.0061759499999999E-2</v>
      </c>
      <c r="J480" s="96">
        <v>3.3401818299999997E-2</v>
      </c>
    </row>
    <row r="481" spans="1:10">
      <c r="A481" s="96" t="s">
        <v>136</v>
      </c>
      <c r="B481" s="96" t="s">
        <v>137</v>
      </c>
      <c r="C481" s="96">
        <v>1998</v>
      </c>
      <c r="D481" s="96">
        <v>4752</v>
      </c>
      <c r="E481" s="96">
        <v>147852</v>
      </c>
      <c r="F481" s="96">
        <v>10090</v>
      </c>
      <c r="G481" s="96">
        <v>162694</v>
      </c>
      <c r="H481" s="96">
        <v>0.90877352580000004</v>
      </c>
      <c r="I481" s="96">
        <v>6.20182674E-2</v>
      </c>
      <c r="J481" s="96">
        <v>2.9208206800000001E-2</v>
      </c>
    </row>
    <row r="482" spans="1:10">
      <c r="A482" s="96" t="s">
        <v>136</v>
      </c>
      <c r="B482" s="96" t="s">
        <v>137</v>
      </c>
      <c r="C482" s="96">
        <v>1999</v>
      </c>
      <c r="D482" s="96">
        <v>5069</v>
      </c>
      <c r="E482" s="96">
        <v>152301</v>
      </c>
      <c r="F482" s="96">
        <v>10402</v>
      </c>
      <c r="G482" s="96">
        <v>167772</v>
      </c>
      <c r="H482" s="96">
        <v>0.90778556610000005</v>
      </c>
      <c r="I482" s="96">
        <v>6.2000810599999998E-2</v>
      </c>
      <c r="J482" s="96">
        <v>3.0213623299999999E-2</v>
      </c>
    </row>
    <row r="483" spans="1:10">
      <c r="A483" s="96" t="s">
        <v>136</v>
      </c>
      <c r="B483" s="96" t="s">
        <v>137</v>
      </c>
      <c r="C483" s="96">
        <v>2000</v>
      </c>
      <c r="D483" s="96">
        <v>7266</v>
      </c>
      <c r="E483" s="96">
        <v>147875</v>
      </c>
      <c r="F483" s="96">
        <v>10370</v>
      </c>
      <c r="G483" s="96">
        <v>165511</v>
      </c>
      <c r="H483" s="96">
        <v>0.89344514870000002</v>
      </c>
      <c r="I483" s="96">
        <v>6.2654445899999994E-2</v>
      </c>
      <c r="J483" s="96">
        <v>4.3900405400000002E-2</v>
      </c>
    </row>
    <row r="484" spans="1:10">
      <c r="A484" s="96" t="s">
        <v>136</v>
      </c>
      <c r="B484" s="96" t="s">
        <v>137</v>
      </c>
      <c r="C484" s="96">
        <v>2001</v>
      </c>
      <c r="D484" s="96">
        <v>4062</v>
      </c>
      <c r="E484" s="96">
        <v>158997</v>
      </c>
      <c r="F484" s="96">
        <v>10075</v>
      </c>
      <c r="G484" s="96">
        <v>173134</v>
      </c>
      <c r="H484" s="96">
        <v>0.9183464831</v>
      </c>
      <c r="I484" s="96">
        <v>5.8191920699999997E-2</v>
      </c>
      <c r="J484" s="96">
        <v>2.34615962E-2</v>
      </c>
    </row>
    <row r="485" spans="1:10">
      <c r="A485" s="96" t="s">
        <v>136</v>
      </c>
      <c r="B485" s="96" t="s">
        <v>137</v>
      </c>
      <c r="C485" s="96">
        <v>2002</v>
      </c>
      <c r="D485" s="96">
        <v>3843</v>
      </c>
      <c r="E485" s="96">
        <v>163785</v>
      </c>
      <c r="F485" s="96">
        <v>10015</v>
      </c>
      <c r="G485" s="96">
        <v>177643</v>
      </c>
      <c r="H485" s="96">
        <v>0.92198960839999999</v>
      </c>
      <c r="I485" s="96">
        <v>5.6377115899999997E-2</v>
      </c>
      <c r="J485" s="96">
        <v>2.1633275699999999E-2</v>
      </c>
    </row>
    <row r="486" spans="1:10">
      <c r="A486" s="96" t="s">
        <v>136</v>
      </c>
      <c r="B486" s="96" t="s">
        <v>137</v>
      </c>
      <c r="C486" s="96">
        <v>2003</v>
      </c>
      <c r="D486" s="96">
        <v>6808</v>
      </c>
      <c r="E486" s="96">
        <v>162343</v>
      </c>
      <c r="F486" s="96">
        <v>11008</v>
      </c>
      <c r="G486" s="96">
        <v>180159</v>
      </c>
      <c r="H486" s="96">
        <v>0.90110957540000003</v>
      </c>
      <c r="I486" s="96">
        <v>6.1101582500000001E-2</v>
      </c>
      <c r="J486" s="96">
        <v>3.7788842099999997E-2</v>
      </c>
    </row>
    <row r="487" spans="1:10">
      <c r="A487" s="96" t="s">
        <v>136</v>
      </c>
      <c r="B487" s="96" t="s">
        <v>137</v>
      </c>
      <c r="C487" s="96">
        <v>2004</v>
      </c>
      <c r="D487" s="96">
        <v>5654</v>
      </c>
      <c r="E487" s="96">
        <v>162596</v>
      </c>
      <c r="F487" s="96">
        <v>11241</v>
      </c>
      <c r="G487" s="96">
        <v>179491</v>
      </c>
      <c r="H487" s="96">
        <v>0.90587271790000001</v>
      </c>
      <c r="I487" s="96">
        <v>6.2627095499999993E-2</v>
      </c>
      <c r="J487" s="96">
        <v>3.1500186600000001E-2</v>
      </c>
    </row>
    <row r="488" spans="1:10">
      <c r="A488" s="96" t="s">
        <v>136</v>
      </c>
      <c r="B488" s="96" t="s">
        <v>137</v>
      </c>
      <c r="C488" s="96">
        <v>2005</v>
      </c>
      <c r="D488" s="96">
        <v>5181</v>
      </c>
      <c r="E488" s="96">
        <v>163549</v>
      </c>
      <c r="F488" s="96">
        <v>11622</v>
      </c>
      <c r="G488" s="96">
        <v>180352</v>
      </c>
      <c r="H488" s="96">
        <v>0.90683219479999999</v>
      </c>
      <c r="I488" s="96">
        <v>6.4440649399999994E-2</v>
      </c>
      <c r="J488" s="96">
        <v>2.8727155800000001E-2</v>
      </c>
    </row>
    <row r="489" spans="1:10">
      <c r="A489" s="96" t="s">
        <v>136</v>
      </c>
      <c r="B489" s="96" t="s">
        <v>137</v>
      </c>
      <c r="C489" s="96">
        <v>2006</v>
      </c>
      <c r="D489" s="96">
        <v>5485</v>
      </c>
      <c r="E489" s="96">
        <v>163054</v>
      </c>
      <c r="F489" s="96">
        <v>11813</v>
      </c>
      <c r="G489" s="96">
        <v>180352</v>
      </c>
      <c r="H489" s="96">
        <v>0.90408756209999996</v>
      </c>
      <c r="I489" s="96">
        <v>6.54996895E-2</v>
      </c>
      <c r="J489" s="96">
        <v>3.0412748400000002E-2</v>
      </c>
    </row>
    <row r="490" spans="1:10">
      <c r="A490" s="96" t="s">
        <v>136</v>
      </c>
      <c r="B490" s="96" t="s">
        <v>137</v>
      </c>
      <c r="C490" s="96">
        <v>2007</v>
      </c>
      <c r="D490" s="96">
        <v>5196</v>
      </c>
      <c r="E490" s="96">
        <v>166598</v>
      </c>
      <c r="F490" s="96">
        <v>11932</v>
      </c>
      <c r="G490" s="96">
        <v>183726</v>
      </c>
      <c r="H490" s="96">
        <v>0.90677421810000003</v>
      </c>
      <c r="I490" s="96">
        <v>6.4944536999999997E-2</v>
      </c>
      <c r="J490" s="96">
        <v>2.8281244899999999E-2</v>
      </c>
    </row>
    <row r="491" spans="1:10">
      <c r="A491" s="96" t="s">
        <v>136</v>
      </c>
      <c r="B491" s="96" t="s">
        <v>137</v>
      </c>
      <c r="C491" s="96">
        <v>2008</v>
      </c>
      <c r="D491" s="96">
        <v>9177</v>
      </c>
      <c r="E491" s="96">
        <v>167540</v>
      </c>
      <c r="F491" s="96">
        <v>12150</v>
      </c>
      <c r="G491" s="96">
        <v>188867</v>
      </c>
      <c r="H491" s="96">
        <v>0.88707926739999998</v>
      </c>
      <c r="I491" s="96">
        <v>6.4330984199999997E-2</v>
      </c>
      <c r="J491" s="96">
        <v>4.8589748299999999E-2</v>
      </c>
    </row>
    <row r="492" spans="1:10">
      <c r="A492" s="96" t="s">
        <v>136</v>
      </c>
      <c r="B492" s="96" t="s">
        <v>137</v>
      </c>
      <c r="C492" s="96">
        <v>2009</v>
      </c>
      <c r="D492" s="96">
        <v>4807</v>
      </c>
      <c r="E492" s="96">
        <v>186130</v>
      </c>
      <c r="F492" s="96">
        <v>13140</v>
      </c>
      <c r="G492" s="96">
        <v>204077</v>
      </c>
      <c r="H492" s="96">
        <v>0.91205770370000006</v>
      </c>
      <c r="I492" s="96">
        <v>6.4387461600000001E-2</v>
      </c>
      <c r="J492" s="96">
        <v>2.3554834699999999E-2</v>
      </c>
    </row>
    <row r="493" spans="1:10">
      <c r="A493" s="96" t="s">
        <v>25</v>
      </c>
      <c r="B493" s="96" t="s">
        <v>111</v>
      </c>
      <c r="C493" s="96">
        <v>2010</v>
      </c>
      <c r="D493" s="96">
        <v>0</v>
      </c>
      <c r="E493" s="96">
        <v>5006</v>
      </c>
      <c r="F493" s="96">
        <v>145</v>
      </c>
      <c r="G493" s="96">
        <v>5151</v>
      </c>
      <c r="H493" s="96">
        <v>0.9718501262</v>
      </c>
      <c r="I493" s="96">
        <v>2.8149873799999999E-2</v>
      </c>
      <c r="J493" s="96">
        <v>0</v>
      </c>
    </row>
    <row r="494" spans="1:10">
      <c r="A494" s="96" t="s">
        <v>26</v>
      </c>
      <c r="B494" s="96" t="s">
        <v>111</v>
      </c>
      <c r="C494" s="96">
        <v>2010</v>
      </c>
      <c r="D494" s="96">
        <v>0</v>
      </c>
      <c r="E494" s="96">
        <v>3156</v>
      </c>
      <c r="F494" s="96">
        <v>3</v>
      </c>
      <c r="G494" s="96">
        <v>3159</v>
      </c>
      <c r="H494" s="96">
        <v>0.99905033239999996</v>
      </c>
      <c r="I494" s="96">
        <v>9.4966759999999995E-4</v>
      </c>
      <c r="J494" s="96">
        <v>0</v>
      </c>
    </row>
    <row r="495" spans="1:10">
      <c r="A495" s="96" t="s">
        <v>27</v>
      </c>
      <c r="B495" s="96" t="s">
        <v>111</v>
      </c>
      <c r="C495" s="96">
        <v>2010</v>
      </c>
      <c r="D495" s="96">
        <v>13</v>
      </c>
      <c r="E495" s="96">
        <v>5634</v>
      </c>
      <c r="F495" s="96">
        <v>43</v>
      </c>
      <c r="G495" s="96">
        <v>5690</v>
      </c>
      <c r="H495" s="96">
        <v>0.99015817220000002</v>
      </c>
      <c r="I495" s="96">
        <v>7.5571177999999998E-3</v>
      </c>
      <c r="J495" s="96">
        <v>2.2847100000000001E-3</v>
      </c>
    </row>
    <row r="496" spans="1:10">
      <c r="A496" s="96" t="s">
        <v>133</v>
      </c>
      <c r="B496" s="96" t="s">
        <v>111</v>
      </c>
      <c r="C496" s="96">
        <v>2010</v>
      </c>
      <c r="D496" s="96">
        <v>0</v>
      </c>
      <c r="E496" s="96">
        <v>827</v>
      </c>
      <c r="F496" s="96">
        <v>0</v>
      </c>
      <c r="G496" s="96">
        <v>827</v>
      </c>
      <c r="H496" s="96">
        <v>1</v>
      </c>
      <c r="I496" s="96">
        <v>0</v>
      </c>
      <c r="J496" s="96">
        <v>0</v>
      </c>
    </row>
    <row r="497" spans="1:10">
      <c r="A497" s="96" t="s">
        <v>132</v>
      </c>
      <c r="B497" s="96" t="s">
        <v>111</v>
      </c>
      <c r="C497" s="96">
        <v>2010</v>
      </c>
      <c r="D497" s="96">
        <v>0</v>
      </c>
      <c r="E497" s="96">
        <v>3537</v>
      </c>
      <c r="F497" s="96">
        <v>0</v>
      </c>
      <c r="G497" s="96">
        <v>3537</v>
      </c>
      <c r="H497" s="96">
        <v>1</v>
      </c>
      <c r="I497" s="96">
        <v>0</v>
      </c>
      <c r="J497" s="96">
        <v>0</v>
      </c>
    </row>
    <row r="498" spans="1:10">
      <c r="A498" s="96" t="s">
        <v>112</v>
      </c>
      <c r="B498" s="96" t="s">
        <v>111</v>
      </c>
      <c r="C498" s="96">
        <v>2010</v>
      </c>
      <c r="D498" s="96">
        <v>0</v>
      </c>
      <c r="E498" s="96">
        <v>6539</v>
      </c>
      <c r="F498" s="96">
        <v>0</v>
      </c>
      <c r="G498" s="96">
        <v>6539</v>
      </c>
      <c r="H498" s="96">
        <v>1</v>
      </c>
      <c r="I498" s="96">
        <v>0</v>
      </c>
      <c r="J498" s="96">
        <v>0</v>
      </c>
    </row>
    <row r="499" spans="1:10">
      <c r="A499" s="96" t="s">
        <v>113</v>
      </c>
      <c r="B499" s="96" t="s">
        <v>111</v>
      </c>
      <c r="C499" s="96">
        <v>2010</v>
      </c>
      <c r="D499" s="96">
        <v>0</v>
      </c>
      <c r="E499" s="96">
        <v>5385</v>
      </c>
      <c r="F499" s="96">
        <v>0</v>
      </c>
      <c r="G499" s="96">
        <v>5385</v>
      </c>
      <c r="H499" s="96">
        <v>1</v>
      </c>
      <c r="I499" s="96">
        <v>0</v>
      </c>
      <c r="J499" s="96">
        <v>0</v>
      </c>
    </row>
    <row r="500" spans="1:10">
      <c r="A500" s="96" t="s">
        <v>114</v>
      </c>
      <c r="B500" s="96" t="s">
        <v>111</v>
      </c>
      <c r="C500" s="96">
        <v>2010</v>
      </c>
      <c r="D500" s="96">
        <v>0</v>
      </c>
      <c r="E500" s="96">
        <v>4956</v>
      </c>
      <c r="F500" s="96">
        <v>0</v>
      </c>
      <c r="G500" s="96">
        <v>4956</v>
      </c>
      <c r="H500" s="96">
        <v>1</v>
      </c>
      <c r="I500" s="96">
        <v>0</v>
      </c>
      <c r="J500" s="96">
        <v>0</v>
      </c>
    </row>
    <row r="501" spans="1:10">
      <c r="A501" s="96" t="s">
        <v>115</v>
      </c>
      <c r="B501" s="96" t="s">
        <v>111</v>
      </c>
      <c r="C501" s="96">
        <v>2010</v>
      </c>
      <c r="D501" s="96">
        <v>7</v>
      </c>
      <c r="E501" s="96">
        <v>3446</v>
      </c>
      <c r="F501" s="96">
        <v>27</v>
      </c>
      <c r="G501" s="96">
        <v>3480</v>
      </c>
      <c r="H501" s="96">
        <v>0.99022988509999998</v>
      </c>
      <c r="I501" s="96">
        <v>7.7586206999999997E-3</v>
      </c>
      <c r="J501" s="96">
        <v>2.0114943000000001E-3</v>
      </c>
    </row>
    <row r="502" spans="1:10">
      <c r="A502" s="96" t="s">
        <v>116</v>
      </c>
      <c r="B502" s="96" t="s">
        <v>111</v>
      </c>
      <c r="C502" s="96">
        <v>2010</v>
      </c>
      <c r="D502" s="96">
        <v>7</v>
      </c>
      <c r="E502" s="96">
        <v>2083</v>
      </c>
      <c r="F502" s="96">
        <v>139</v>
      </c>
      <c r="G502" s="96">
        <v>2229</v>
      </c>
      <c r="H502" s="96">
        <v>0.93449977569999998</v>
      </c>
      <c r="I502" s="96">
        <v>6.23598026E-2</v>
      </c>
      <c r="J502" s="96">
        <v>3.1404216999999998E-3</v>
      </c>
    </row>
    <row r="503" spans="1:10">
      <c r="A503" s="96" t="s">
        <v>37</v>
      </c>
      <c r="B503" s="96" t="s">
        <v>111</v>
      </c>
      <c r="C503" s="96">
        <v>2010</v>
      </c>
      <c r="D503" s="96">
        <v>0</v>
      </c>
      <c r="E503" s="96">
        <v>4479</v>
      </c>
      <c r="F503" s="96">
        <v>0</v>
      </c>
      <c r="G503" s="96">
        <v>4479</v>
      </c>
      <c r="H503" s="96">
        <v>1</v>
      </c>
      <c r="I503" s="96">
        <v>0</v>
      </c>
      <c r="J503" s="96">
        <v>0</v>
      </c>
    </row>
    <row r="504" spans="1:10">
      <c r="A504" s="96" t="s">
        <v>117</v>
      </c>
      <c r="B504" s="96" t="s">
        <v>111</v>
      </c>
      <c r="C504" s="96">
        <v>2010</v>
      </c>
      <c r="D504" s="96">
        <v>22</v>
      </c>
      <c r="E504" s="96">
        <v>1810</v>
      </c>
      <c r="F504" s="96">
        <v>0</v>
      </c>
      <c r="G504" s="96">
        <v>1832</v>
      </c>
      <c r="H504" s="96">
        <v>0.98799126640000001</v>
      </c>
      <c r="I504" s="96">
        <v>0</v>
      </c>
      <c r="J504" s="96">
        <v>1.20087336E-2</v>
      </c>
    </row>
    <row r="505" spans="1:10">
      <c r="A505" s="96" t="s">
        <v>118</v>
      </c>
      <c r="B505" s="96" t="s">
        <v>111</v>
      </c>
      <c r="C505" s="96">
        <v>2010</v>
      </c>
      <c r="D505" s="96">
        <v>0</v>
      </c>
      <c r="E505" s="96">
        <v>13763</v>
      </c>
      <c r="F505" s="96">
        <v>0</v>
      </c>
      <c r="G505" s="96">
        <v>13763</v>
      </c>
      <c r="H505" s="96">
        <v>1</v>
      </c>
      <c r="I505" s="96">
        <v>0</v>
      </c>
      <c r="J505" s="96">
        <v>0</v>
      </c>
    </row>
    <row r="506" spans="1:10">
      <c r="A506" s="96" t="s">
        <v>119</v>
      </c>
      <c r="B506" s="96" t="s">
        <v>111</v>
      </c>
      <c r="C506" s="96">
        <v>2010</v>
      </c>
      <c r="D506" s="96">
        <v>81</v>
      </c>
      <c r="E506" s="96">
        <v>8207</v>
      </c>
      <c r="F506" s="96">
        <v>2</v>
      </c>
      <c r="G506" s="96">
        <v>8290</v>
      </c>
      <c r="H506" s="96">
        <v>0.98998793730000001</v>
      </c>
      <c r="I506" s="96">
        <v>2.412545E-4</v>
      </c>
      <c r="J506" s="96">
        <v>9.7708081999999998E-3</v>
      </c>
    </row>
    <row r="507" spans="1:10">
      <c r="A507" s="96" t="s">
        <v>40</v>
      </c>
      <c r="B507" s="96" t="s">
        <v>111</v>
      </c>
      <c r="C507" s="96">
        <v>2010</v>
      </c>
      <c r="D507" s="96">
        <v>38</v>
      </c>
      <c r="E507" s="96">
        <v>4345</v>
      </c>
      <c r="F507" s="96">
        <v>0</v>
      </c>
      <c r="G507" s="96">
        <v>4383</v>
      </c>
      <c r="H507" s="96">
        <v>0.99133013920000002</v>
      </c>
      <c r="I507" s="96">
        <v>0</v>
      </c>
      <c r="J507" s="96">
        <v>8.6698608E-3</v>
      </c>
    </row>
    <row r="508" spans="1:10">
      <c r="A508" s="96" t="s">
        <v>121</v>
      </c>
      <c r="B508" s="96" t="s">
        <v>111</v>
      </c>
      <c r="C508" s="96">
        <v>2010</v>
      </c>
      <c r="D508" s="96">
        <v>206</v>
      </c>
      <c r="E508" s="96">
        <v>8622</v>
      </c>
      <c r="F508" s="96">
        <v>0</v>
      </c>
      <c r="G508" s="96">
        <v>8828</v>
      </c>
      <c r="H508" s="96">
        <v>0.97666515629999995</v>
      </c>
      <c r="I508" s="96">
        <v>0</v>
      </c>
      <c r="J508" s="96">
        <v>2.33348437E-2</v>
      </c>
    </row>
    <row r="509" spans="1:10">
      <c r="A509" s="96" t="s">
        <v>120</v>
      </c>
      <c r="B509" s="96" t="s">
        <v>111</v>
      </c>
      <c r="C509" s="96">
        <v>2010</v>
      </c>
      <c r="D509" s="96">
        <v>62</v>
      </c>
      <c r="E509" s="96">
        <v>7495</v>
      </c>
      <c r="F509" s="96">
        <v>0</v>
      </c>
      <c r="G509" s="96">
        <v>7557</v>
      </c>
      <c r="H509" s="96">
        <v>0.99179568610000002</v>
      </c>
      <c r="I509" s="96">
        <v>0</v>
      </c>
      <c r="J509" s="96">
        <v>8.2043138999999994E-3</v>
      </c>
    </row>
    <row r="510" spans="1:10">
      <c r="A510" s="96" t="s">
        <v>122</v>
      </c>
      <c r="B510" s="96" t="s">
        <v>111</v>
      </c>
      <c r="C510" s="96">
        <v>2010</v>
      </c>
      <c r="D510" s="96">
        <v>116</v>
      </c>
      <c r="E510" s="96">
        <v>11645</v>
      </c>
      <c r="F510" s="96">
        <v>0</v>
      </c>
      <c r="G510" s="96">
        <v>11761</v>
      </c>
      <c r="H510" s="96">
        <v>0.99013689309999997</v>
      </c>
      <c r="I510" s="96">
        <v>0</v>
      </c>
      <c r="J510" s="96">
        <v>9.8631068999999998E-3</v>
      </c>
    </row>
    <row r="511" spans="1:10">
      <c r="A511" s="96" t="s">
        <v>134</v>
      </c>
      <c r="B511" s="96" t="s">
        <v>111</v>
      </c>
      <c r="C511" s="96">
        <v>2010</v>
      </c>
      <c r="D511" s="96">
        <v>6</v>
      </c>
      <c r="E511" s="96">
        <v>1555</v>
      </c>
      <c r="F511" s="96">
        <v>0</v>
      </c>
      <c r="G511" s="96">
        <v>1561</v>
      </c>
      <c r="H511" s="96">
        <v>0.99615631010000005</v>
      </c>
      <c r="I511" s="96">
        <v>0</v>
      </c>
      <c r="J511" s="96">
        <v>3.8436898999999998E-3</v>
      </c>
    </row>
    <row r="512" spans="1:10">
      <c r="A512" s="96" t="s">
        <v>45</v>
      </c>
      <c r="B512" s="96" t="s">
        <v>111</v>
      </c>
      <c r="C512" s="96">
        <v>2010</v>
      </c>
      <c r="D512" s="96">
        <v>6</v>
      </c>
      <c r="E512" s="96">
        <v>3558</v>
      </c>
      <c r="F512" s="96">
        <v>71</v>
      </c>
      <c r="G512" s="96">
        <v>3635</v>
      </c>
      <c r="H512" s="96">
        <v>0.97881705640000005</v>
      </c>
      <c r="I512" s="96">
        <v>1.9532324600000001E-2</v>
      </c>
      <c r="J512" s="96">
        <v>1.6506190000000001E-3</v>
      </c>
    </row>
    <row r="513" spans="1:10">
      <c r="A513" s="96" t="s">
        <v>123</v>
      </c>
      <c r="B513" s="96" t="s">
        <v>124</v>
      </c>
      <c r="C513" s="96">
        <v>2010</v>
      </c>
      <c r="D513" s="96">
        <v>7</v>
      </c>
      <c r="E513" s="96">
        <v>1496</v>
      </c>
      <c r="F513" s="96">
        <v>149</v>
      </c>
      <c r="G513" s="96">
        <v>1652</v>
      </c>
      <c r="H513" s="96">
        <v>0.90556900730000001</v>
      </c>
      <c r="I513" s="96">
        <v>9.0193704599999994E-2</v>
      </c>
      <c r="J513" s="96">
        <v>4.2372881000000001E-3</v>
      </c>
    </row>
    <row r="514" spans="1:10">
      <c r="A514" s="96" t="s">
        <v>14</v>
      </c>
      <c r="B514" s="96" t="s">
        <v>124</v>
      </c>
      <c r="C514" s="96">
        <v>2010</v>
      </c>
      <c r="D514" s="96">
        <v>89</v>
      </c>
      <c r="E514" s="96">
        <v>2276</v>
      </c>
      <c r="F514" s="96">
        <v>378</v>
      </c>
      <c r="G514" s="96">
        <v>2743</v>
      </c>
      <c r="H514" s="96">
        <v>0.82974845060000002</v>
      </c>
      <c r="I514" s="96">
        <v>0.1378053226</v>
      </c>
      <c r="J514" s="96">
        <v>3.2446226799999998E-2</v>
      </c>
    </row>
    <row r="515" spans="1:10">
      <c r="A515" s="96" t="s">
        <v>127</v>
      </c>
      <c r="B515" s="96" t="s">
        <v>124</v>
      </c>
      <c r="C515" s="96">
        <v>2010</v>
      </c>
      <c r="D515" s="96">
        <v>236</v>
      </c>
      <c r="E515" s="96">
        <v>4417</v>
      </c>
      <c r="F515" s="96">
        <v>850</v>
      </c>
      <c r="G515" s="96">
        <v>5503</v>
      </c>
      <c r="H515" s="96">
        <v>0.80265309829999998</v>
      </c>
      <c r="I515" s="96">
        <v>0.15446120299999999</v>
      </c>
      <c r="J515" s="96">
        <v>4.2885698700000002E-2</v>
      </c>
    </row>
    <row r="516" spans="1:10">
      <c r="A516" s="96" t="s">
        <v>126</v>
      </c>
      <c r="B516" s="96" t="s">
        <v>124</v>
      </c>
      <c r="C516" s="96">
        <v>2010</v>
      </c>
      <c r="D516" s="96">
        <v>617</v>
      </c>
      <c r="E516" s="96">
        <v>13504</v>
      </c>
      <c r="F516" s="96">
        <v>1090</v>
      </c>
      <c r="G516" s="96">
        <v>15211</v>
      </c>
      <c r="H516" s="96">
        <v>0.88777858129999998</v>
      </c>
      <c r="I516" s="96">
        <v>7.1658668100000003E-2</v>
      </c>
      <c r="J516" s="96">
        <v>4.0562750600000003E-2</v>
      </c>
    </row>
    <row r="517" spans="1:10">
      <c r="A517" s="96" t="s">
        <v>125</v>
      </c>
      <c r="B517" s="96" t="s">
        <v>124</v>
      </c>
      <c r="C517" s="96">
        <v>2010</v>
      </c>
      <c r="D517" s="96">
        <v>86</v>
      </c>
      <c r="E517" s="96">
        <v>4510</v>
      </c>
      <c r="F517" s="96">
        <v>627</v>
      </c>
      <c r="G517" s="96">
        <v>5223</v>
      </c>
      <c r="H517" s="96">
        <v>0.86348841659999997</v>
      </c>
      <c r="I517" s="96">
        <v>0.12004595060000001</v>
      </c>
      <c r="J517" s="96">
        <v>1.6465632800000001E-2</v>
      </c>
    </row>
    <row r="518" spans="1:10">
      <c r="A518" s="96" t="s">
        <v>128</v>
      </c>
      <c r="B518" s="96" t="s">
        <v>124</v>
      </c>
      <c r="C518" s="96">
        <v>2010</v>
      </c>
      <c r="D518" s="96">
        <v>43</v>
      </c>
      <c r="E518" s="96">
        <v>5646</v>
      </c>
      <c r="F518" s="96">
        <v>321</v>
      </c>
      <c r="G518" s="96">
        <v>6010</v>
      </c>
      <c r="H518" s="96">
        <v>0.93943427619999997</v>
      </c>
      <c r="I518" s="96">
        <v>5.3410981699999999E-2</v>
      </c>
      <c r="J518" s="96">
        <v>7.1547421E-3</v>
      </c>
    </row>
    <row r="519" spans="1:10">
      <c r="A519" s="96" t="s">
        <v>129</v>
      </c>
      <c r="B519" s="96" t="s">
        <v>124</v>
      </c>
      <c r="C519" s="96">
        <v>2010</v>
      </c>
      <c r="D519" s="96">
        <v>130</v>
      </c>
      <c r="E519" s="96">
        <v>4570</v>
      </c>
      <c r="F519" s="96">
        <v>1472</v>
      </c>
      <c r="G519" s="96">
        <v>6172</v>
      </c>
      <c r="H519" s="96">
        <v>0.74044069990000005</v>
      </c>
      <c r="I519" s="96">
        <v>0.23849643549999999</v>
      </c>
      <c r="J519" s="96">
        <v>2.10628645E-2</v>
      </c>
    </row>
    <row r="520" spans="1:10">
      <c r="A520" s="96" t="s">
        <v>130</v>
      </c>
      <c r="B520" s="96" t="s">
        <v>124</v>
      </c>
      <c r="C520" s="96">
        <v>2010</v>
      </c>
      <c r="D520" s="96">
        <v>295</v>
      </c>
      <c r="E520" s="96">
        <v>7849</v>
      </c>
      <c r="F520" s="96">
        <v>1040</v>
      </c>
      <c r="G520" s="96">
        <v>9184</v>
      </c>
      <c r="H520" s="96">
        <v>0.8546385017</v>
      </c>
      <c r="I520" s="96">
        <v>0.1132404181</v>
      </c>
      <c r="J520" s="96">
        <v>3.2121080099999998E-2</v>
      </c>
    </row>
    <row r="521" spans="1:10">
      <c r="A521" s="96" t="s">
        <v>19</v>
      </c>
      <c r="B521" s="96" t="s">
        <v>124</v>
      </c>
      <c r="C521" s="96">
        <v>2010</v>
      </c>
      <c r="D521" s="96">
        <v>334</v>
      </c>
      <c r="E521" s="96">
        <v>4433</v>
      </c>
      <c r="F521" s="96">
        <v>908</v>
      </c>
      <c r="G521" s="96">
        <v>5675</v>
      </c>
      <c r="H521" s="96">
        <v>0.78114537439999998</v>
      </c>
      <c r="I521" s="96">
        <v>0.16</v>
      </c>
      <c r="J521" s="96">
        <v>5.8854625600000002E-2</v>
      </c>
    </row>
    <row r="522" spans="1:10">
      <c r="A522" s="96" t="s">
        <v>131</v>
      </c>
      <c r="B522" s="96" t="s">
        <v>124</v>
      </c>
      <c r="C522" s="96">
        <v>2010</v>
      </c>
      <c r="D522" s="96">
        <v>270</v>
      </c>
      <c r="E522" s="96">
        <v>8095</v>
      </c>
      <c r="F522" s="96">
        <v>540</v>
      </c>
      <c r="G522" s="96">
        <v>8905</v>
      </c>
      <c r="H522" s="96">
        <v>0.90903986520000002</v>
      </c>
      <c r="I522" s="96">
        <v>6.0640089799999998E-2</v>
      </c>
      <c r="J522" s="96">
        <v>3.0320044899999999E-2</v>
      </c>
    </row>
    <row r="523" spans="1:10">
      <c r="A523" s="96" t="s">
        <v>20</v>
      </c>
      <c r="B523" s="96" t="s">
        <v>124</v>
      </c>
      <c r="C523" s="96">
        <v>2010</v>
      </c>
      <c r="D523" s="96">
        <v>464</v>
      </c>
      <c r="E523" s="96">
        <v>20102</v>
      </c>
      <c r="F523" s="96">
        <v>4268</v>
      </c>
      <c r="G523" s="96">
        <v>24834</v>
      </c>
      <c r="H523" s="96">
        <v>0.80945477970000002</v>
      </c>
      <c r="I523" s="96">
        <v>0.17186115809999999</v>
      </c>
      <c r="J523" s="96">
        <v>1.86840622E-2</v>
      </c>
    </row>
    <row r="524" spans="1:10">
      <c r="A524" s="96" t="s">
        <v>21</v>
      </c>
      <c r="B524" s="96" t="s">
        <v>124</v>
      </c>
      <c r="C524" s="96">
        <v>2010</v>
      </c>
      <c r="D524" s="96">
        <v>198</v>
      </c>
      <c r="E524" s="96">
        <v>6040</v>
      </c>
      <c r="F524" s="96">
        <v>1948</v>
      </c>
      <c r="G524" s="96">
        <v>8186</v>
      </c>
      <c r="H524" s="96">
        <v>0.73784510140000004</v>
      </c>
      <c r="I524" s="96">
        <v>0.2379672612</v>
      </c>
      <c r="J524" s="96">
        <v>2.41876374E-2</v>
      </c>
    </row>
    <row r="525" spans="1:10">
      <c r="A525" s="96" t="s">
        <v>22</v>
      </c>
      <c r="B525" s="96" t="s">
        <v>124</v>
      </c>
      <c r="C525" s="96">
        <v>2010</v>
      </c>
      <c r="D525" s="96">
        <v>312</v>
      </c>
      <c r="E525" s="96">
        <v>12318</v>
      </c>
      <c r="F525" s="96">
        <v>541</v>
      </c>
      <c r="G525" s="96">
        <v>13171</v>
      </c>
      <c r="H525" s="96">
        <v>0.93523650439999995</v>
      </c>
      <c r="I525" s="96">
        <v>4.1075089199999998E-2</v>
      </c>
      <c r="J525" s="96">
        <v>2.3688406299999999E-2</v>
      </c>
    </row>
    <row r="526" spans="1:10">
      <c r="A526" s="96" t="s">
        <v>135</v>
      </c>
      <c r="B526" s="96" t="s">
        <v>111</v>
      </c>
      <c r="C526" s="96">
        <v>2010</v>
      </c>
      <c r="D526" s="96">
        <v>564</v>
      </c>
      <c r="E526" s="96">
        <v>106048</v>
      </c>
      <c r="F526" s="96">
        <v>430</v>
      </c>
      <c r="G526" s="96">
        <v>107042</v>
      </c>
      <c r="H526" s="96">
        <v>0.99071392540000003</v>
      </c>
      <c r="I526" s="96">
        <v>4.0171147999999999E-3</v>
      </c>
      <c r="J526" s="96">
        <v>5.2689598000000004E-3</v>
      </c>
    </row>
    <row r="527" spans="1:10">
      <c r="A527" s="96" t="s">
        <v>135</v>
      </c>
      <c r="B527" s="96" t="s">
        <v>124</v>
      </c>
      <c r="C527" s="96">
        <v>2010</v>
      </c>
      <c r="D527" s="96">
        <v>3081</v>
      </c>
      <c r="E527" s="96">
        <v>95256</v>
      </c>
      <c r="F527" s="96">
        <v>14132</v>
      </c>
      <c r="G527" s="96">
        <v>112469</v>
      </c>
      <c r="H527" s="96">
        <v>0.84695338269999998</v>
      </c>
      <c r="I527" s="96">
        <v>0.125652402</v>
      </c>
      <c r="J527" s="96">
        <v>2.73942153E-2</v>
      </c>
    </row>
    <row r="528" spans="1:10">
      <c r="A528" s="96" t="s">
        <v>136</v>
      </c>
      <c r="B528" s="96" t="s">
        <v>137</v>
      </c>
      <c r="C528" s="96">
        <v>2010</v>
      </c>
      <c r="D528" s="96">
        <v>3645</v>
      </c>
      <c r="E528" s="96">
        <v>201304</v>
      </c>
      <c r="F528" s="96">
        <v>14562</v>
      </c>
      <c r="G528" s="96">
        <v>219511</v>
      </c>
      <c r="H528" s="96">
        <v>0.91705654839999995</v>
      </c>
      <c r="I528" s="96">
        <v>6.6338361200000001E-2</v>
      </c>
      <c r="J528" s="96">
        <v>1.6605090400000001E-2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G37"/>
  <sheetViews>
    <sheetView workbookViewId="0">
      <selection activeCell="F9" sqref="F9"/>
    </sheetView>
  </sheetViews>
  <sheetFormatPr defaultRowHeight="9"/>
  <cols>
    <col min="1" max="1" width="65.19921875" bestFit="1" customWidth="1"/>
    <col min="2" max="2" width="20.19921875" bestFit="1" customWidth="1"/>
    <col min="3" max="7" width="15.19921875" bestFit="1" customWidth="1"/>
  </cols>
  <sheetData>
    <row r="3" spans="1:7">
      <c r="A3" s="97" t="s">
        <v>141</v>
      </c>
      <c r="B3" s="97" t="s">
        <v>138</v>
      </c>
    </row>
    <row r="4" spans="1:7">
      <c r="A4" s="97" t="s">
        <v>140</v>
      </c>
      <c r="B4">
        <v>2006</v>
      </c>
      <c r="C4">
        <v>2007</v>
      </c>
      <c r="D4">
        <v>2008</v>
      </c>
      <c r="E4">
        <v>2009</v>
      </c>
      <c r="F4">
        <v>2010</v>
      </c>
      <c r="G4" t="s">
        <v>139</v>
      </c>
    </row>
    <row r="5" spans="1:7">
      <c r="A5" s="98" t="s">
        <v>137</v>
      </c>
      <c r="B5">
        <v>0.40960397469999998</v>
      </c>
      <c r="C5">
        <v>0.4078228559</v>
      </c>
      <c r="D5">
        <v>0.38774510359999997</v>
      </c>
      <c r="E5">
        <v>0.39048762399999998</v>
      </c>
      <c r="F5">
        <v>0.38929107149999997</v>
      </c>
      <c r="G5">
        <v>1.9849506296999999</v>
      </c>
    </row>
    <row r="6" spans="1:7">
      <c r="A6" s="99" t="s">
        <v>136</v>
      </c>
      <c r="B6">
        <v>0.40960397469999998</v>
      </c>
      <c r="C6">
        <v>0.4078228559</v>
      </c>
      <c r="D6">
        <v>0.38774510359999997</v>
      </c>
      <c r="E6">
        <v>0.39048762399999998</v>
      </c>
      <c r="F6">
        <v>0.38929107149999997</v>
      </c>
      <c r="G6">
        <v>1.9849506296999999</v>
      </c>
    </row>
    <row r="7" spans="1:7">
      <c r="A7" s="98" t="s">
        <v>148</v>
      </c>
      <c r="B7">
        <v>7.7503740192999988</v>
      </c>
      <c r="C7">
        <v>7.6905004877999996</v>
      </c>
      <c r="D7">
        <v>7.3489263961999995</v>
      </c>
      <c r="E7">
        <v>7.1620627305999998</v>
      </c>
      <c r="F7">
        <v>7.4130608369000015</v>
      </c>
      <c r="G7">
        <v>37.364924470799998</v>
      </c>
    </row>
    <row r="8" spans="1:7">
      <c r="A8" s="99" t="s">
        <v>135</v>
      </c>
      <c r="B8">
        <v>0.4085941864</v>
      </c>
      <c r="C8">
        <v>0.41025701790000002</v>
      </c>
      <c r="D8">
        <v>0.38662823940000002</v>
      </c>
      <c r="E8">
        <v>0.38949134120000001</v>
      </c>
      <c r="F8">
        <v>0.3914480206</v>
      </c>
      <c r="G8">
        <v>1.9864188055000001</v>
      </c>
    </row>
    <row r="9" spans="1:7">
      <c r="A9" s="99" t="s">
        <v>149</v>
      </c>
      <c r="B9">
        <v>0.285840708</v>
      </c>
      <c r="C9">
        <v>0.30176991149999999</v>
      </c>
      <c r="D9">
        <v>0.286067601</v>
      </c>
      <c r="E9">
        <v>0.28323197220000002</v>
      </c>
      <c r="F9">
        <v>0.28396072010000001</v>
      </c>
      <c r="G9">
        <v>1.4408709128000001</v>
      </c>
    </row>
    <row r="10" spans="1:7">
      <c r="A10" s="99" t="s">
        <v>150</v>
      </c>
      <c r="B10">
        <v>1.2931034E-3</v>
      </c>
      <c r="C10">
        <v>4.2194090000000002E-4</v>
      </c>
      <c r="D10">
        <v>0</v>
      </c>
      <c r="E10">
        <v>9.8953377699999998E-2</v>
      </c>
      <c r="F10">
        <v>6.6864784999999998E-3</v>
      </c>
      <c r="G10">
        <v>0.10735490049999999</v>
      </c>
    </row>
    <row r="11" spans="1:7">
      <c r="A11" s="99" t="s">
        <v>151</v>
      </c>
      <c r="B11">
        <v>9.3935790699999994E-2</v>
      </c>
      <c r="C11">
        <v>8.9935760200000006E-2</v>
      </c>
      <c r="D11">
        <v>0.1020019066</v>
      </c>
      <c r="E11">
        <v>1.08243131E-2</v>
      </c>
      <c r="F11">
        <v>0.1088435374</v>
      </c>
      <c r="G11">
        <v>0.40554130799999999</v>
      </c>
    </row>
    <row r="12" spans="1:7">
      <c r="A12" s="99" t="s">
        <v>152</v>
      </c>
      <c r="B12">
        <v>0.34721189590000001</v>
      </c>
      <c r="C12">
        <v>0.34817518250000001</v>
      </c>
      <c r="D12">
        <v>0.30014858840000003</v>
      </c>
      <c r="E12">
        <v>0.28159645230000002</v>
      </c>
      <c r="F12">
        <v>0.2297101449</v>
      </c>
      <c r="G12">
        <v>1.5068422640000001</v>
      </c>
    </row>
    <row r="13" spans="1:7">
      <c r="A13" s="99" t="s">
        <v>153</v>
      </c>
      <c r="B13">
        <v>0.51988304090000004</v>
      </c>
      <c r="C13">
        <v>0.50135082980000001</v>
      </c>
      <c r="D13">
        <v>0.51003419059999999</v>
      </c>
      <c r="E13">
        <v>0.50675997009999996</v>
      </c>
      <c r="F13">
        <v>0.52233250620000005</v>
      </c>
      <c r="G13">
        <v>2.5603605376000003</v>
      </c>
    </row>
    <row r="14" spans="1:7">
      <c r="A14" s="99" t="s">
        <v>154</v>
      </c>
      <c r="B14">
        <v>0.4695051784</v>
      </c>
      <c r="C14">
        <v>0.44876325090000002</v>
      </c>
      <c r="D14">
        <v>0.45308641979999997</v>
      </c>
      <c r="E14">
        <v>0.4615384615</v>
      </c>
      <c r="F14">
        <v>0.47989623869999998</v>
      </c>
      <c r="G14">
        <v>2.3127895493000001</v>
      </c>
    </row>
    <row r="15" spans="1:7">
      <c r="A15" s="99" t="s">
        <v>155</v>
      </c>
      <c r="B15">
        <v>7.7732974900000001E-2</v>
      </c>
      <c r="C15">
        <v>8.3166999300000002E-2</v>
      </c>
      <c r="D15">
        <v>8.4503998299999994E-2</v>
      </c>
      <c r="E15">
        <v>7.2218869399999996E-2</v>
      </c>
      <c r="F15">
        <v>8.36113837E-2</v>
      </c>
      <c r="G15">
        <v>0.40123422559999999</v>
      </c>
    </row>
    <row r="16" spans="1:7">
      <c r="A16" s="99" t="s">
        <v>156</v>
      </c>
      <c r="B16">
        <v>0.62195121949999999</v>
      </c>
      <c r="C16">
        <v>0.66492829200000003</v>
      </c>
      <c r="D16">
        <v>0.50811123989999996</v>
      </c>
      <c r="E16">
        <v>0.48703170029999998</v>
      </c>
      <c r="F16">
        <v>0.4881355932</v>
      </c>
      <c r="G16">
        <v>2.7701580448999996</v>
      </c>
    </row>
    <row r="17" spans="1:7">
      <c r="A17" s="99" t="s">
        <v>157</v>
      </c>
      <c r="B17">
        <v>0.1014070839</v>
      </c>
      <c r="C17">
        <v>0.1049085659</v>
      </c>
      <c r="D17">
        <v>9.5009596900000007E-2</v>
      </c>
      <c r="E17">
        <v>0.10499227999999999</v>
      </c>
      <c r="F17">
        <v>0.1119005329</v>
      </c>
      <c r="G17">
        <v>0.5182180596</v>
      </c>
    </row>
    <row r="18" spans="1:7">
      <c r="A18" s="99" t="s">
        <v>158</v>
      </c>
      <c r="B18">
        <v>0.2474793767</v>
      </c>
      <c r="C18">
        <v>0.1959459459</v>
      </c>
      <c r="D18">
        <v>0.17603686639999999</v>
      </c>
      <c r="E18">
        <v>0.23874755380000001</v>
      </c>
      <c r="F18">
        <v>0.21683673470000001</v>
      </c>
      <c r="G18">
        <v>1.0750464775000002</v>
      </c>
    </row>
    <row r="19" spans="1:7">
      <c r="A19" s="99" t="s">
        <v>159</v>
      </c>
      <c r="B19">
        <v>0.16430454850000001</v>
      </c>
      <c r="C19">
        <v>0.172513624</v>
      </c>
      <c r="D19">
        <v>0.18852459020000001</v>
      </c>
      <c r="E19">
        <v>0.2010026633</v>
      </c>
      <c r="F19">
        <v>0.22873082289999999</v>
      </c>
      <c r="G19">
        <v>0.95507624889999998</v>
      </c>
    </row>
    <row r="20" spans="1:7">
      <c r="A20" s="99" t="s">
        <v>160</v>
      </c>
      <c r="B20">
        <v>0.13064046579999999</v>
      </c>
      <c r="C20">
        <v>0.1263834345</v>
      </c>
      <c r="D20">
        <v>0.1259411362</v>
      </c>
      <c r="E20">
        <v>0.1216768916</v>
      </c>
      <c r="F20">
        <v>0.12904312670000001</v>
      </c>
      <c r="G20">
        <v>0.63368505480000015</v>
      </c>
    </row>
    <row r="21" spans="1:7">
      <c r="A21" s="99" t="s">
        <v>161</v>
      </c>
      <c r="B21">
        <v>0.11712379539999999</v>
      </c>
      <c r="C21">
        <v>0.111747851</v>
      </c>
      <c r="D21">
        <v>4.5412418900000001E-2</v>
      </c>
      <c r="E21">
        <v>5.3613744099999999E-2</v>
      </c>
      <c r="F21">
        <v>5.0563341599999999E-2</v>
      </c>
      <c r="G21">
        <v>0.378461151</v>
      </c>
    </row>
    <row r="22" spans="1:7">
      <c r="A22" s="99" t="s">
        <v>162</v>
      </c>
      <c r="B22">
        <v>0.25404732250000001</v>
      </c>
      <c r="C22">
        <v>0.23317591500000001</v>
      </c>
      <c r="D22">
        <v>0.22929936309999999</v>
      </c>
      <c r="E22">
        <v>0.22247065399999999</v>
      </c>
      <c r="F22">
        <v>0.2162011173</v>
      </c>
      <c r="G22">
        <v>1.1551943719</v>
      </c>
    </row>
    <row r="23" spans="1:7">
      <c r="A23" s="99" t="s">
        <v>163</v>
      </c>
      <c r="B23">
        <v>0.79753449259999998</v>
      </c>
      <c r="C23">
        <v>0.79701916250000004</v>
      </c>
      <c r="D23">
        <v>0.75592077540000002</v>
      </c>
      <c r="E23">
        <v>0.68312929730000005</v>
      </c>
      <c r="F23">
        <v>0.71633393830000003</v>
      </c>
      <c r="G23">
        <v>3.7499376661000001</v>
      </c>
    </row>
    <row r="24" spans="1:7">
      <c r="A24" s="99" t="s">
        <v>164</v>
      </c>
      <c r="B24">
        <v>0.3294329433</v>
      </c>
      <c r="C24">
        <v>0.33175150990000002</v>
      </c>
      <c r="D24">
        <v>0.3403211418</v>
      </c>
      <c r="E24">
        <v>0.34528301890000002</v>
      </c>
      <c r="F24">
        <v>0.3464641671</v>
      </c>
      <c r="G24">
        <v>1.693252781</v>
      </c>
    </row>
    <row r="25" spans="1:7">
      <c r="A25" s="99" t="s">
        <v>165</v>
      </c>
      <c r="B25">
        <v>0.39169796779999999</v>
      </c>
      <c r="C25">
        <v>0.41387293939999997</v>
      </c>
      <c r="D25">
        <v>0.40189505679999998</v>
      </c>
      <c r="E25">
        <v>0.4153597993</v>
      </c>
      <c r="F25">
        <v>0.4122057401</v>
      </c>
      <c r="G25">
        <v>2.0350315033999999</v>
      </c>
    </row>
    <row r="26" spans="1:7">
      <c r="A26" s="99" t="s">
        <v>166</v>
      </c>
      <c r="B26">
        <v>0.14963235289999999</v>
      </c>
      <c r="C26">
        <v>0.14374315939999999</v>
      </c>
      <c r="D26">
        <v>0.14760543249999999</v>
      </c>
      <c r="E26">
        <v>0.143394935</v>
      </c>
      <c r="F26">
        <v>0.1443298969</v>
      </c>
      <c r="G26">
        <v>0.72870577669999992</v>
      </c>
    </row>
    <row r="27" spans="1:7">
      <c r="A27" s="99" t="s">
        <v>167</v>
      </c>
      <c r="B27">
        <v>0.52189349110000005</v>
      </c>
      <c r="C27">
        <v>0.5</v>
      </c>
      <c r="D27">
        <v>0.47613997879999997</v>
      </c>
      <c r="E27">
        <v>0.45846477390000001</v>
      </c>
      <c r="F27">
        <v>0.4457687723</v>
      </c>
      <c r="G27">
        <v>2.4022670161000002</v>
      </c>
    </row>
    <row r="28" spans="1:7">
      <c r="A28" s="99" t="s">
        <v>168</v>
      </c>
      <c r="B28">
        <v>0.71093961549999996</v>
      </c>
      <c r="C28">
        <v>0.71777195640000002</v>
      </c>
      <c r="D28">
        <v>0.7319971367</v>
      </c>
      <c r="E28">
        <v>0.73701390860000005</v>
      </c>
      <c r="F28">
        <v>0.73662090219999998</v>
      </c>
      <c r="G28">
        <v>3.6343435194000002</v>
      </c>
    </row>
    <row r="29" spans="1:7">
      <c r="A29" s="99" t="s">
        <v>169</v>
      </c>
      <c r="B29">
        <v>0.22839506170000001</v>
      </c>
      <c r="C29">
        <v>0.22798188220000001</v>
      </c>
      <c r="D29">
        <v>0.23356926189999999</v>
      </c>
      <c r="E29">
        <v>5.8956916099999999E-2</v>
      </c>
      <c r="F29">
        <v>0.25060048039999999</v>
      </c>
      <c r="G29">
        <v>0.99950360230000013</v>
      </c>
    </row>
    <row r="30" spans="1:7">
      <c r="A30" s="99" t="s">
        <v>170</v>
      </c>
      <c r="B30">
        <v>0.23283261799999999</v>
      </c>
      <c r="C30">
        <v>0.20041322310000001</v>
      </c>
      <c r="D30">
        <v>0.20499999999999999</v>
      </c>
      <c r="E30">
        <v>0.20515179389999999</v>
      </c>
      <c r="F30">
        <v>0.19929762949999999</v>
      </c>
      <c r="G30">
        <v>1.0426952644999998</v>
      </c>
    </row>
    <row r="31" spans="1:7">
      <c r="A31" s="99" t="s">
        <v>171</v>
      </c>
      <c r="B31">
        <v>0.25779275480000002</v>
      </c>
      <c r="C31">
        <v>0.28735632179999998</v>
      </c>
      <c r="D31">
        <v>0.27438016529999998</v>
      </c>
      <c r="E31">
        <v>0.30378578020000002</v>
      </c>
      <c r="F31">
        <v>0.34056603769999999</v>
      </c>
      <c r="G31">
        <v>1.4638810597999998</v>
      </c>
    </row>
    <row r="32" spans="1:7">
      <c r="A32" s="99" t="s">
        <v>172</v>
      </c>
      <c r="B32">
        <v>0.28927203070000002</v>
      </c>
      <c r="C32">
        <v>0.27714581179999997</v>
      </c>
      <c r="D32">
        <v>0.29129129129999998</v>
      </c>
      <c r="E32">
        <v>0.27737226279999999</v>
      </c>
      <c r="F32">
        <v>0.27297297300000001</v>
      </c>
      <c r="G32">
        <v>1.4080543695999999</v>
      </c>
    </row>
    <row r="33" spans="1:7">
      <c r="A33" s="98" t="s">
        <v>145</v>
      </c>
      <c r="B33">
        <v>1.5968089629</v>
      </c>
      <c r="C33">
        <v>1.1576678163</v>
      </c>
      <c r="D33">
        <v>1.3655589124</v>
      </c>
      <c r="E33">
        <v>1.3268608414</v>
      </c>
      <c r="F33">
        <v>1.0242024203</v>
      </c>
      <c r="G33">
        <v>6.4710989532999994</v>
      </c>
    </row>
    <row r="34" spans="1:7">
      <c r="A34" s="99" t="s">
        <v>135</v>
      </c>
      <c r="B34">
        <v>0.55653710249999999</v>
      </c>
      <c r="C34">
        <v>0.26712328769999999</v>
      </c>
      <c r="D34">
        <v>0.68277945620000002</v>
      </c>
      <c r="E34">
        <v>0.66343042070000002</v>
      </c>
      <c r="F34">
        <v>0.22772277229999999</v>
      </c>
      <c r="G34">
        <v>2.3975930393999998</v>
      </c>
    </row>
    <row r="35" spans="1:7">
      <c r="A35" s="99" t="s">
        <v>146</v>
      </c>
      <c r="B35">
        <v>0.81446540879999996</v>
      </c>
      <c r="C35">
        <v>0.76323987540000005</v>
      </c>
      <c r="D35">
        <v>0.68277945620000002</v>
      </c>
      <c r="E35">
        <v>0.66343042070000002</v>
      </c>
      <c r="F35">
        <v>0.73927392739999997</v>
      </c>
      <c r="G35">
        <v>3.6631890885000002</v>
      </c>
    </row>
    <row r="36" spans="1:7">
      <c r="A36" s="99" t="s">
        <v>147</v>
      </c>
      <c r="B36">
        <v>0.22580645160000001</v>
      </c>
      <c r="C36">
        <v>0.12730465320000001</v>
      </c>
      <c r="F36">
        <v>5.7205720600000003E-2</v>
      </c>
      <c r="G36">
        <v>0.41031682540000003</v>
      </c>
    </row>
    <row r="37" spans="1:7">
      <c r="A37" s="98" t="s">
        <v>139</v>
      </c>
      <c r="B37">
        <v>9.7567869568999992</v>
      </c>
      <c r="C37">
        <v>9.2559911600000007</v>
      </c>
      <c r="D37">
        <v>9.1022304122000008</v>
      </c>
      <c r="E37">
        <v>8.8794111959999995</v>
      </c>
      <c r="F37">
        <v>8.8265543287000021</v>
      </c>
      <c r="G37">
        <v>45.820974053800001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4"/>
  <sheetViews>
    <sheetView workbookViewId="0">
      <selection sqref="A1:J144"/>
    </sheetView>
  </sheetViews>
  <sheetFormatPr defaultRowHeight="9"/>
  <sheetData>
    <row r="1" spans="1:10">
      <c r="A1" s="96" t="s">
        <v>103</v>
      </c>
      <c r="B1" s="96" t="s">
        <v>144</v>
      </c>
      <c r="C1" s="96" t="s">
        <v>101</v>
      </c>
      <c r="D1" s="96" t="s">
        <v>104</v>
      </c>
      <c r="E1" s="96" t="s">
        <v>105</v>
      </c>
      <c r="F1" s="96" t="s">
        <v>106</v>
      </c>
      <c r="G1" s="96" t="s">
        <v>107</v>
      </c>
      <c r="H1" s="96" t="s">
        <v>108</v>
      </c>
      <c r="I1" s="96" t="s">
        <v>109</v>
      </c>
      <c r="J1" s="96" t="s">
        <v>110</v>
      </c>
    </row>
    <row r="2" spans="1:10">
      <c r="A2" s="96">
        <v>2006</v>
      </c>
      <c r="B2" s="96" t="s">
        <v>145</v>
      </c>
      <c r="C2" s="96" t="s">
        <v>146</v>
      </c>
      <c r="D2" s="96">
        <v>25</v>
      </c>
      <c r="E2" s="96">
        <v>34</v>
      </c>
      <c r="F2" s="96">
        <v>259</v>
      </c>
      <c r="G2" s="96">
        <v>318</v>
      </c>
      <c r="H2" s="96">
        <v>0.106918239</v>
      </c>
      <c r="I2" s="96">
        <v>0.81446540879999996</v>
      </c>
      <c r="J2" s="96">
        <v>7.8616352200000003E-2</v>
      </c>
    </row>
    <row r="3" spans="1:10">
      <c r="A3" s="96">
        <v>2006</v>
      </c>
      <c r="B3" s="96" t="s">
        <v>145</v>
      </c>
      <c r="C3" s="96" t="s">
        <v>147</v>
      </c>
      <c r="D3" s="96">
        <v>8</v>
      </c>
      <c r="E3" s="96">
        <v>184</v>
      </c>
      <c r="F3" s="96">
        <v>56</v>
      </c>
      <c r="G3" s="96">
        <v>248</v>
      </c>
      <c r="H3" s="96">
        <v>0.74193548389999997</v>
      </c>
      <c r="I3" s="96">
        <v>0.22580645160000001</v>
      </c>
      <c r="J3" s="96">
        <v>3.2258064500000003E-2</v>
      </c>
    </row>
    <row r="4" spans="1:10">
      <c r="A4" s="96">
        <v>2006</v>
      </c>
      <c r="B4" s="96" t="s">
        <v>148</v>
      </c>
      <c r="C4" s="96" t="s">
        <v>149</v>
      </c>
      <c r="D4" s="96">
        <v>60</v>
      </c>
      <c r="E4" s="96">
        <v>747</v>
      </c>
      <c r="F4" s="96">
        <v>323</v>
      </c>
      <c r="G4" s="96">
        <v>1130</v>
      </c>
      <c r="H4" s="96">
        <v>0.66106194689999997</v>
      </c>
      <c r="I4" s="96">
        <v>0.285840708</v>
      </c>
      <c r="J4" s="96">
        <v>5.3097345099999999E-2</v>
      </c>
    </row>
    <row r="5" spans="1:10">
      <c r="A5" s="96">
        <v>2006</v>
      </c>
      <c r="B5" s="96" t="s">
        <v>148</v>
      </c>
      <c r="C5" s="96" t="s">
        <v>150</v>
      </c>
      <c r="D5" s="96">
        <v>128</v>
      </c>
      <c r="E5" s="96">
        <v>2189</v>
      </c>
      <c r="F5" s="96">
        <v>3</v>
      </c>
      <c r="G5" s="96">
        <v>2320</v>
      </c>
      <c r="H5" s="96">
        <v>0.94353448279999996</v>
      </c>
      <c r="I5" s="96">
        <v>1.2931034E-3</v>
      </c>
      <c r="J5" s="96">
        <v>5.51724138E-2</v>
      </c>
    </row>
    <row r="6" spans="1:10">
      <c r="A6" s="96">
        <v>2006</v>
      </c>
      <c r="B6" s="96" t="s">
        <v>148</v>
      </c>
      <c r="C6" s="96" t="s">
        <v>151</v>
      </c>
      <c r="D6" s="96">
        <v>7</v>
      </c>
      <c r="E6" s="96">
        <v>755</v>
      </c>
      <c r="F6" s="96">
        <v>79</v>
      </c>
      <c r="G6" s="96">
        <v>841</v>
      </c>
      <c r="H6" s="96">
        <v>0.89774078479999997</v>
      </c>
      <c r="I6" s="96">
        <v>9.3935790699999994E-2</v>
      </c>
      <c r="J6" s="96">
        <v>8.3234244999999991E-3</v>
      </c>
    </row>
    <row r="7" spans="1:10">
      <c r="A7" s="96">
        <v>2006</v>
      </c>
      <c r="B7" s="96" t="s">
        <v>148</v>
      </c>
      <c r="C7" s="96" t="s">
        <v>152</v>
      </c>
      <c r="D7" s="96">
        <v>14</v>
      </c>
      <c r="E7" s="96">
        <v>864</v>
      </c>
      <c r="F7" s="96">
        <v>467</v>
      </c>
      <c r="G7" s="96">
        <v>1345</v>
      </c>
      <c r="H7" s="96">
        <v>0.64237918220000001</v>
      </c>
      <c r="I7" s="96">
        <v>0.34721189590000001</v>
      </c>
      <c r="J7" s="96">
        <v>1.04089219E-2</v>
      </c>
    </row>
    <row r="8" spans="1:10">
      <c r="A8" s="96">
        <v>2006</v>
      </c>
      <c r="B8" s="96" t="s">
        <v>148</v>
      </c>
      <c r="C8" s="96" t="s">
        <v>153</v>
      </c>
      <c r="D8" s="96">
        <v>128</v>
      </c>
      <c r="E8" s="96">
        <v>5619</v>
      </c>
      <c r="F8" s="96">
        <v>6223</v>
      </c>
      <c r="G8" s="96">
        <v>11970</v>
      </c>
      <c r="H8" s="96">
        <v>0.46942355889999998</v>
      </c>
      <c r="I8" s="96">
        <v>0.51988304090000004</v>
      </c>
      <c r="J8" s="96">
        <v>1.06934002E-2</v>
      </c>
    </row>
    <row r="9" spans="1:10">
      <c r="A9" s="96">
        <v>2006</v>
      </c>
      <c r="B9" s="96" t="s">
        <v>148</v>
      </c>
      <c r="C9" s="96" t="s">
        <v>154</v>
      </c>
      <c r="D9" s="96">
        <v>5</v>
      </c>
      <c r="E9" s="96">
        <v>456</v>
      </c>
      <c r="F9" s="96">
        <v>408</v>
      </c>
      <c r="G9" s="96">
        <v>869</v>
      </c>
      <c r="H9" s="96">
        <v>0.5247410817</v>
      </c>
      <c r="I9" s="96">
        <v>0.4695051784</v>
      </c>
      <c r="J9" s="96">
        <v>5.7537398999999998E-3</v>
      </c>
    </row>
    <row r="10" spans="1:10">
      <c r="A10" s="96">
        <v>2006</v>
      </c>
      <c r="B10" s="96" t="s">
        <v>148</v>
      </c>
      <c r="C10" s="96" t="s">
        <v>155</v>
      </c>
      <c r="D10" s="96">
        <v>94</v>
      </c>
      <c r="E10" s="96">
        <v>4023</v>
      </c>
      <c r="F10" s="96">
        <v>347</v>
      </c>
      <c r="G10" s="96">
        <v>4464</v>
      </c>
      <c r="H10" s="96">
        <v>0.90120967740000002</v>
      </c>
      <c r="I10" s="96">
        <v>7.7732974900000001E-2</v>
      </c>
      <c r="J10" s="96">
        <v>2.10573477E-2</v>
      </c>
    </row>
    <row r="11" spans="1:10">
      <c r="A11" s="96">
        <v>2006</v>
      </c>
      <c r="B11" s="96" t="s">
        <v>148</v>
      </c>
      <c r="C11" s="96" t="s">
        <v>156</v>
      </c>
      <c r="D11" s="96">
        <v>8</v>
      </c>
      <c r="E11" s="96">
        <v>612</v>
      </c>
      <c r="F11" s="96">
        <v>1020</v>
      </c>
      <c r="G11" s="96">
        <v>1640</v>
      </c>
      <c r="H11" s="96">
        <v>0.37317073169999998</v>
      </c>
      <c r="I11" s="96">
        <v>0.62195121949999999</v>
      </c>
      <c r="J11" s="96">
        <v>4.8780487999999997E-3</v>
      </c>
    </row>
    <row r="12" spans="1:10">
      <c r="A12" s="96">
        <v>2006</v>
      </c>
      <c r="B12" s="96" t="s">
        <v>148</v>
      </c>
      <c r="C12" s="96" t="s">
        <v>157</v>
      </c>
      <c r="D12" s="96">
        <v>35</v>
      </c>
      <c r="E12" s="96">
        <v>1817</v>
      </c>
      <c r="F12" s="96">
        <v>209</v>
      </c>
      <c r="G12" s="96">
        <v>2061</v>
      </c>
      <c r="H12" s="96">
        <v>0.88161086850000003</v>
      </c>
      <c r="I12" s="96">
        <v>0.1014070839</v>
      </c>
      <c r="J12" s="96">
        <v>1.69820475E-2</v>
      </c>
    </row>
    <row r="13" spans="1:10">
      <c r="A13" s="96">
        <v>2006</v>
      </c>
      <c r="B13" s="96" t="s">
        <v>148</v>
      </c>
      <c r="C13" s="96" t="s">
        <v>158</v>
      </c>
      <c r="D13" s="96">
        <v>85</v>
      </c>
      <c r="E13" s="96">
        <v>736</v>
      </c>
      <c r="F13" s="96">
        <v>270</v>
      </c>
      <c r="G13" s="96">
        <v>1091</v>
      </c>
      <c r="H13" s="96">
        <v>0.67461044910000001</v>
      </c>
      <c r="I13" s="96">
        <v>0.2474793767</v>
      </c>
      <c r="J13" s="96">
        <v>7.7910174200000001E-2</v>
      </c>
    </row>
    <row r="14" spans="1:10">
      <c r="A14" s="96">
        <v>2006</v>
      </c>
      <c r="B14" s="96" t="s">
        <v>148</v>
      </c>
      <c r="C14" s="96" t="s">
        <v>159</v>
      </c>
      <c r="D14" s="96">
        <v>444</v>
      </c>
      <c r="E14" s="96">
        <v>4627</v>
      </c>
      <c r="F14" s="96">
        <v>997</v>
      </c>
      <c r="G14" s="96">
        <v>6068</v>
      </c>
      <c r="H14" s="96">
        <v>0.76252471980000003</v>
      </c>
      <c r="I14" s="96">
        <v>0.16430454850000001</v>
      </c>
      <c r="J14" s="96">
        <v>7.3170731700000005E-2</v>
      </c>
    </row>
    <row r="15" spans="1:10">
      <c r="A15" s="96">
        <v>2006</v>
      </c>
      <c r="B15" s="96" t="s">
        <v>148</v>
      </c>
      <c r="C15" s="96" t="s">
        <v>160</v>
      </c>
      <c r="D15" s="96">
        <v>14</v>
      </c>
      <c r="E15" s="96">
        <v>2375</v>
      </c>
      <c r="F15" s="96">
        <v>359</v>
      </c>
      <c r="G15" s="96">
        <v>2748</v>
      </c>
      <c r="H15" s="96">
        <v>0.86426491989999998</v>
      </c>
      <c r="I15" s="96">
        <v>0.13064046579999999</v>
      </c>
      <c r="J15" s="96">
        <v>5.0946142999999996E-3</v>
      </c>
    </row>
    <row r="16" spans="1:10">
      <c r="A16" s="96">
        <v>2006</v>
      </c>
      <c r="B16" s="96" t="s">
        <v>148</v>
      </c>
      <c r="C16" s="96" t="s">
        <v>161</v>
      </c>
      <c r="D16" s="96">
        <v>204</v>
      </c>
      <c r="E16" s="96">
        <v>987</v>
      </c>
      <c r="F16" s="96">
        <v>158</v>
      </c>
      <c r="G16" s="96">
        <v>1349</v>
      </c>
      <c r="H16" s="96">
        <v>0.73165307639999999</v>
      </c>
      <c r="I16" s="96">
        <v>0.11712379539999999</v>
      </c>
      <c r="J16" s="96">
        <v>0.1512231282</v>
      </c>
    </row>
    <row r="17" spans="1:10">
      <c r="A17" s="96">
        <v>2006</v>
      </c>
      <c r="B17" s="96" t="s">
        <v>148</v>
      </c>
      <c r="C17" s="96" t="s">
        <v>162</v>
      </c>
      <c r="D17" s="96">
        <v>160</v>
      </c>
      <c r="E17" s="96">
        <v>1038</v>
      </c>
      <c r="F17" s="96">
        <v>408</v>
      </c>
      <c r="G17" s="96">
        <v>1606</v>
      </c>
      <c r="H17" s="96">
        <v>0.64632627649999996</v>
      </c>
      <c r="I17" s="96">
        <v>0.25404732250000001</v>
      </c>
      <c r="J17" s="96">
        <v>9.9626401000000003E-2</v>
      </c>
    </row>
    <row r="18" spans="1:10">
      <c r="A18" s="96">
        <v>2006</v>
      </c>
      <c r="B18" s="96" t="s">
        <v>148</v>
      </c>
      <c r="C18" s="96" t="s">
        <v>163</v>
      </c>
      <c r="D18" s="96">
        <v>238</v>
      </c>
      <c r="E18" s="96">
        <v>2242</v>
      </c>
      <c r="F18" s="96">
        <v>9769</v>
      </c>
      <c r="G18" s="96">
        <v>12249</v>
      </c>
      <c r="H18" s="96">
        <v>0.1830353498</v>
      </c>
      <c r="I18" s="96">
        <v>0.79753449259999998</v>
      </c>
      <c r="J18" s="96">
        <v>1.9430157600000001E-2</v>
      </c>
    </row>
    <row r="19" spans="1:10">
      <c r="A19" s="96">
        <v>2006</v>
      </c>
      <c r="B19" s="96" t="s">
        <v>148</v>
      </c>
      <c r="C19" s="96" t="s">
        <v>164</v>
      </c>
      <c r="D19" s="96">
        <v>11</v>
      </c>
      <c r="E19" s="96">
        <v>1479</v>
      </c>
      <c r="F19" s="96">
        <v>732</v>
      </c>
      <c r="G19" s="96">
        <v>2222</v>
      </c>
      <c r="H19" s="96">
        <v>0.66561656170000005</v>
      </c>
      <c r="I19" s="96">
        <v>0.3294329433</v>
      </c>
      <c r="J19" s="96">
        <v>4.9504950000000001E-3</v>
      </c>
    </row>
    <row r="20" spans="1:10">
      <c r="A20" s="96">
        <v>2006</v>
      </c>
      <c r="B20" s="96" t="s">
        <v>148</v>
      </c>
      <c r="C20" s="96" t="s">
        <v>165</v>
      </c>
      <c r="D20" s="96">
        <v>412</v>
      </c>
      <c r="E20" s="96">
        <v>5904</v>
      </c>
      <c r="F20" s="96">
        <v>4067</v>
      </c>
      <c r="G20" s="96">
        <v>10383</v>
      </c>
      <c r="H20" s="96">
        <v>0.56862178559999998</v>
      </c>
      <c r="I20" s="96">
        <v>0.39169796779999999</v>
      </c>
      <c r="J20" s="96">
        <v>3.9680246600000003E-2</v>
      </c>
    </row>
    <row r="21" spans="1:10">
      <c r="A21" s="96">
        <v>2006</v>
      </c>
      <c r="B21" s="96" t="s">
        <v>148</v>
      </c>
      <c r="C21" s="96" t="s">
        <v>166</v>
      </c>
      <c r="D21" s="96">
        <v>101</v>
      </c>
      <c r="E21" s="96">
        <v>2212</v>
      </c>
      <c r="F21" s="96">
        <v>407</v>
      </c>
      <c r="G21" s="96">
        <v>2720</v>
      </c>
      <c r="H21" s="96">
        <v>0.81323529409999995</v>
      </c>
      <c r="I21" s="96">
        <v>0.14963235289999999</v>
      </c>
      <c r="J21" s="96">
        <v>3.7132352899999999E-2</v>
      </c>
    </row>
    <row r="22" spans="1:10">
      <c r="A22" s="96">
        <v>2006</v>
      </c>
      <c r="B22" s="96" t="s">
        <v>148</v>
      </c>
      <c r="C22" s="96" t="s">
        <v>167</v>
      </c>
      <c r="D22" s="96">
        <v>6</v>
      </c>
      <c r="E22" s="96">
        <v>398</v>
      </c>
      <c r="F22" s="96">
        <v>441</v>
      </c>
      <c r="G22" s="96">
        <v>845</v>
      </c>
      <c r="H22" s="96">
        <v>0.47100591720000001</v>
      </c>
      <c r="I22" s="96">
        <v>0.52189349110000005</v>
      </c>
      <c r="J22" s="96">
        <v>7.1005916999999997E-3</v>
      </c>
    </row>
    <row r="23" spans="1:10">
      <c r="A23" s="96">
        <v>2006</v>
      </c>
      <c r="B23" s="96" t="s">
        <v>148</v>
      </c>
      <c r="C23" s="96" t="s">
        <v>168</v>
      </c>
      <c r="D23" s="96">
        <v>444</v>
      </c>
      <c r="E23" s="96">
        <v>1691</v>
      </c>
      <c r="F23" s="96">
        <v>5251</v>
      </c>
      <c r="G23" s="96">
        <v>7386</v>
      </c>
      <c r="H23" s="96">
        <v>0.22894665580000001</v>
      </c>
      <c r="I23" s="96">
        <v>0.71093961549999996</v>
      </c>
      <c r="J23" s="96">
        <v>6.0113728700000001E-2</v>
      </c>
    </row>
    <row r="24" spans="1:10">
      <c r="A24" s="96">
        <v>2006</v>
      </c>
      <c r="B24" s="96" t="s">
        <v>148</v>
      </c>
      <c r="C24" s="96" t="s">
        <v>169</v>
      </c>
      <c r="D24" s="96">
        <v>517</v>
      </c>
      <c r="E24" s="96">
        <v>2483</v>
      </c>
      <c r="F24" s="96">
        <v>888</v>
      </c>
      <c r="G24" s="96">
        <v>3888</v>
      </c>
      <c r="H24" s="96">
        <v>0.63863168719999996</v>
      </c>
      <c r="I24" s="96">
        <v>0.22839506170000001</v>
      </c>
      <c r="J24" s="96">
        <v>0.13297325099999999</v>
      </c>
    </row>
    <row r="25" spans="1:10">
      <c r="A25" s="96">
        <v>2006</v>
      </c>
      <c r="B25" s="96" t="s">
        <v>148</v>
      </c>
      <c r="C25" s="96" t="s">
        <v>170</v>
      </c>
      <c r="D25" s="96">
        <v>108</v>
      </c>
      <c r="E25" s="96">
        <v>607</v>
      </c>
      <c r="F25" s="96">
        <v>217</v>
      </c>
      <c r="G25" s="96">
        <v>932</v>
      </c>
      <c r="H25" s="96">
        <v>0.65128755360000001</v>
      </c>
      <c r="I25" s="96">
        <v>0.23283261799999999</v>
      </c>
      <c r="J25" s="96">
        <v>0.1158798283</v>
      </c>
    </row>
    <row r="26" spans="1:10">
      <c r="A26" s="96">
        <v>2006</v>
      </c>
      <c r="B26" s="96" t="s">
        <v>148</v>
      </c>
      <c r="C26" s="96" t="s">
        <v>171</v>
      </c>
      <c r="D26" s="96">
        <v>4</v>
      </c>
      <c r="E26" s="96">
        <v>877</v>
      </c>
      <c r="F26" s="96">
        <v>306</v>
      </c>
      <c r="G26" s="96">
        <v>1187</v>
      </c>
      <c r="H26" s="96">
        <v>0.73883740519999996</v>
      </c>
      <c r="I26" s="96">
        <v>0.25779275480000002</v>
      </c>
      <c r="J26" s="96">
        <v>3.3698399000000002E-3</v>
      </c>
    </row>
    <row r="27" spans="1:10">
      <c r="A27" s="96">
        <v>2006</v>
      </c>
      <c r="B27" s="96" t="s">
        <v>148</v>
      </c>
      <c r="C27" s="96" t="s">
        <v>172</v>
      </c>
      <c r="D27" s="96">
        <v>33</v>
      </c>
      <c r="E27" s="96">
        <v>709</v>
      </c>
      <c r="F27" s="96">
        <v>302</v>
      </c>
      <c r="G27" s="96">
        <v>1044</v>
      </c>
      <c r="H27" s="96">
        <v>0.67911877389999997</v>
      </c>
      <c r="I27" s="96">
        <v>0.28927203070000002</v>
      </c>
      <c r="J27" s="96">
        <v>3.1609195399999998E-2</v>
      </c>
    </row>
    <row r="28" spans="1:10">
      <c r="A28" s="96">
        <v>2007</v>
      </c>
      <c r="B28" s="96" t="s">
        <v>145</v>
      </c>
      <c r="C28" s="96" t="s">
        <v>146</v>
      </c>
      <c r="D28" s="96">
        <v>22</v>
      </c>
      <c r="E28" s="96">
        <v>54</v>
      </c>
      <c r="F28" s="96">
        <v>245</v>
      </c>
      <c r="G28" s="96">
        <v>321</v>
      </c>
      <c r="H28" s="96">
        <v>0.1682242991</v>
      </c>
      <c r="I28" s="96">
        <v>0.76323987540000005</v>
      </c>
      <c r="J28" s="96">
        <v>6.8535825499999994E-2</v>
      </c>
    </row>
    <row r="29" spans="1:10">
      <c r="A29" s="96">
        <v>2007</v>
      </c>
      <c r="B29" s="96" t="s">
        <v>145</v>
      </c>
      <c r="C29" s="96" t="s">
        <v>147</v>
      </c>
      <c r="D29" s="96">
        <v>115</v>
      </c>
      <c r="E29" s="96">
        <v>879</v>
      </c>
      <c r="F29" s="96">
        <v>145</v>
      </c>
      <c r="G29" s="96">
        <v>1139</v>
      </c>
      <c r="H29" s="96">
        <v>0.77172958739999997</v>
      </c>
      <c r="I29" s="96">
        <v>0.12730465320000001</v>
      </c>
      <c r="J29" s="96">
        <v>0.10096575939999999</v>
      </c>
    </row>
    <row r="30" spans="1:10">
      <c r="A30" s="96">
        <v>2007</v>
      </c>
      <c r="B30" s="96" t="s">
        <v>148</v>
      </c>
      <c r="C30" s="96" t="s">
        <v>149</v>
      </c>
      <c r="D30" s="96">
        <v>93</v>
      </c>
      <c r="E30" s="96">
        <v>696</v>
      </c>
      <c r="F30" s="96">
        <v>341</v>
      </c>
      <c r="G30" s="96">
        <v>1130</v>
      </c>
      <c r="H30" s="96">
        <v>0.61592920350000002</v>
      </c>
      <c r="I30" s="96">
        <v>0.30176991149999999</v>
      </c>
      <c r="J30" s="96">
        <v>8.2300885000000004E-2</v>
      </c>
    </row>
    <row r="31" spans="1:10">
      <c r="A31" s="96">
        <v>2007</v>
      </c>
      <c r="B31" s="96" t="s">
        <v>148</v>
      </c>
      <c r="C31" s="96" t="s">
        <v>150</v>
      </c>
      <c r="D31" s="96">
        <v>69</v>
      </c>
      <c r="E31" s="96">
        <v>2300</v>
      </c>
      <c r="F31" s="96">
        <v>1</v>
      </c>
      <c r="G31" s="96">
        <v>2370</v>
      </c>
      <c r="H31" s="96">
        <v>0.97046413499999995</v>
      </c>
      <c r="I31" s="96">
        <v>4.2194090000000002E-4</v>
      </c>
      <c r="J31" s="96">
        <v>2.9113924100000001E-2</v>
      </c>
    </row>
    <row r="32" spans="1:10">
      <c r="A32" s="96">
        <v>2007</v>
      </c>
      <c r="B32" s="96" t="s">
        <v>148</v>
      </c>
      <c r="C32" s="96" t="s">
        <v>151</v>
      </c>
      <c r="D32" s="96">
        <v>11</v>
      </c>
      <c r="E32" s="96">
        <v>839</v>
      </c>
      <c r="F32" s="96">
        <v>84</v>
      </c>
      <c r="G32" s="96">
        <v>934</v>
      </c>
      <c r="H32" s="96">
        <v>0.89828693790000003</v>
      </c>
      <c r="I32" s="96">
        <v>8.9935760200000006E-2</v>
      </c>
      <c r="J32" s="96">
        <v>1.17773019E-2</v>
      </c>
    </row>
    <row r="33" spans="1:10">
      <c r="A33" s="96">
        <v>2007</v>
      </c>
      <c r="B33" s="96" t="s">
        <v>148</v>
      </c>
      <c r="C33" s="96" t="s">
        <v>152</v>
      </c>
      <c r="D33" s="96">
        <v>18</v>
      </c>
      <c r="E33" s="96">
        <v>875</v>
      </c>
      <c r="F33" s="96">
        <v>477</v>
      </c>
      <c r="G33" s="96">
        <v>1370</v>
      </c>
      <c r="H33" s="96">
        <v>0.63868613139999997</v>
      </c>
      <c r="I33" s="96">
        <v>0.34817518250000001</v>
      </c>
      <c r="J33" s="96">
        <v>1.31386861E-2</v>
      </c>
    </row>
    <row r="34" spans="1:10">
      <c r="A34" s="96">
        <v>2007</v>
      </c>
      <c r="B34" s="96" t="s">
        <v>148</v>
      </c>
      <c r="C34" s="96" t="s">
        <v>153</v>
      </c>
      <c r="D34" s="96">
        <v>472</v>
      </c>
      <c r="E34" s="96">
        <v>5988</v>
      </c>
      <c r="F34" s="96">
        <v>6495</v>
      </c>
      <c r="G34" s="96">
        <v>12955</v>
      </c>
      <c r="H34" s="96">
        <v>0.46221536089999998</v>
      </c>
      <c r="I34" s="96">
        <v>0.50135082980000001</v>
      </c>
      <c r="J34" s="96">
        <v>3.6433809300000002E-2</v>
      </c>
    </row>
    <row r="35" spans="1:10">
      <c r="A35" s="96">
        <v>2007</v>
      </c>
      <c r="B35" s="96" t="s">
        <v>148</v>
      </c>
      <c r="C35" s="96" t="s">
        <v>154</v>
      </c>
      <c r="D35" s="96">
        <v>5</v>
      </c>
      <c r="E35" s="96">
        <v>463</v>
      </c>
      <c r="F35" s="96">
        <v>381</v>
      </c>
      <c r="G35" s="96">
        <v>849</v>
      </c>
      <c r="H35" s="96">
        <v>0.54534746759999997</v>
      </c>
      <c r="I35" s="96">
        <v>0.44876325090000002</v>
      </c>
      <c r="J35" s="96">
        <v>5.8892815000000003E-3</v>
      </c>
    </row>
    <row r="36" spans="1:10">
      <c r="A36" s="96">
        <v>2007</v>
      </c>
      <c r="B36" s="96" t="s">
        <v>148</v>
      </c>
      <c r="C36" s="96" t="s">
        <v>155</v>
      </c>
      <c r="D36" s="96">
        <v>106</v>
      </c>
      <c r="E36" s="96">
        <v>4028</v>
      </c>
      <c r="F36" s="96">
        <v>375</v>
      </c>
      <c r="G36" s="96">
        <v>4509</v>
      </c>
      <c r="H36" s="96">
        <v>0.89332446219999995</v>
      </c>
      <c r="I36" s="96">
        <v>8.3166999300000002E-2</v>
      </c>
      <c r="J36" s="96">
        <v>2.3508538499999999E-2</v>
      </c>
    </row>
    <row r="37" spans="1:10">
      <c r="A37" s="96">
        <v>2007</v>
      </c>
      <c r="B37" s="96" t="s">
        <v>148</v>
      </c>
      <c r="C37" s="96" t="s">
        <v>156</v>
      </c>
      <c r="D37" s="96">
        <v>29</v>
      </c>
      <c r="E37" s="96">
        <v>485</v>
      </c>
      <c r="F37" s="96">
        <v>1020</v>
      </c>
      <c r="G37" s="96">
        <v>1534</v>
      </c>
      <c r="H37" s="96">
        <v>0.31616688399999998</v>
      </c>
      <c r="I37" s="96">
        <v>0.66492829200000003</v>
      </c>
      <c r="J37" s="96">
        <v>1.8904824000000001E-2</v>
      </c>
    </row>
    <row r="38" spans="1:10">
      <c r="A38" s="96">
        <v>2007</v>
      </c>
      <c r="B38" s="96" t="s">
        <v>148</v>
      </c>
      <c r="C38" s="96" t="s">
        <v>157</v>
      </c>
      <c r="D38" s="96">
        <v>26</v>
      </c>
      <c r="E38" s="96">
        <v>1834</v>
      </c>
      <c r="F38" s="96">
        <v>218</v>
      </c>
      <c r="G38" s="96">
        <v>2078</v>
      </c>
      <c r="H38" s="96">
        <v>0.88257940329999995</v>
      </c>
      <c r="I38" s="96">
        <v>0.1049085659</v>
      </c>
      <c r="J38" s="96">
        <v>1.2512030800000001E-2</v>
      </c>
    </row>
    <row r="39" spans="1:10">
      <c r="A39" s="96">
        <v>2007</v>
      </c>
      <c r="B39" s="96" t="s">
        <v>148</v>
      </c>
      <c r="C39" s="96" t="s">
        <v>158</v>
      </c>
      <c r="D39" s="96">
        <v>100</v>
      </c>
      <c r="E39" s="96">
        <v>852</v>
      </c>
      <c r="F39" s="96">
        <v>232</v>
      </c>
      <c r="G39" s="96">
        <v>1184</v>
      </c>
      <c r="H39" s="96">
        <v>0.71959459459999997</v>
      </c>
      <c r="I39" s="96">
        <v>0.1959459459</v>
      </c>
      <c r="J39" s="96">
        <v>8.44594595E-2</v>
      </c>
    </row>
    <row r="40" spans="1:10">
      <c r="A40" s="96">
        <v>2007</v>
      </c>
      <c r="B40" s="96" t="s">
        <v>148</v>
      </c>
      <c r="C40" s="96" t="s">
        <v>159</v>
      </c>
      <c r="D40" s="96">
        <v>563</v>
      </c>
      <c r="E40" s="96">
        <v>4296</v>
      </c>
      <c r="F40" s="96">
        <v>1013</v>
      </c>
      <c r="G40" s="96">
        <v>5872</v>
      </c>
      <c r="H40" s="96">
        <v>0.73160762940000001</v>
      </c>
      <c r="I40" s="96">
        <v>0.172513624</v>
      </c>
      <c r="J40" s="96">
        <v>9.5878746599999995E-2</v>
      </c>
    </row>
    <row r="41" spans="1:10">
      <c r="A41" s="96">
        <v>2007</v>
      </c>
      <c r="B41" s="96" t="s">
        <v>148</v>
      </c>
      <c r="C41" s="96" t="s">
        <v>160</v>
      </c>
      <c r="D41" s="96">
        <v>12</v>
      </c>
      <c r="E41" s="96">
        <v>2435</v>
      </c>
      <c r="F41" s="96">
        <v>354</v>
      </c>
      <c r="G41" s="96">
        <v>2801</v>
      </c>
      <c r="H41" s="96">
        <v>0.86933238130000001</v>
      </c>
      <c r="I41" s="96">
        <v>0.1263834345</v>
      </c>
      <c r="J41" s="96">
        <v>4.2841842E-3</v>
      </c>
    </row>
    <row r="42" spans="1:10">
      <c r="A42" s="96">
        <v>2007</v>
      </c>
      <c r="B42" s="96" t="s">
        <v>148</v>
      </c>
      <c r="C42" s="96" t="s">
        <v>161</v>
      </c>
      <c r="D42" s="96">
        <v>245</v>
      </c>
      <c r="E42" s="96">
        <v>995</v>
      </c>
      <c r="F42" s="96">
        <v>156</v>
      </c>
      <c r="G42" s="96">
        <v>1396</v>
      </c>
      <c r="H42" s="96">
        <v>0.71275071629999998</v>
      </c>
      <c r="I42" s="96">
        <v>0.111747851</v>
      </c>
      <c r="J42" s="96">
        <v>0.17550143269999999</v>
      </c>
    </row>
    <row r="43" spans="1:10">
      <c r="A43" s="96">
        <v>2007</v>
      </c>
      <c r="B43" s="96" t="s">
        <v>148</v>
      </c>
      <c r="C43" s="96" t="s">
        <v>162</v>
      </c>
      <c r="D43" s="96">
        <v>166</v>
      </c>
      <c r="E43" s="96">
        <v>1133</v>
      </c>
      <c r="F43" s="96">
        <v>395</v>
      </c>
      <c r="G43" s="96">
        <v>1694</v>
      </c>
      <c r="H43" s="96">
        <v>0.66883116880000004</v>
      </c>
      <c r="I43" s="96">
        <v>0.23317591500000001</v>
      </c>
      <c r="J43" s="96">
        <v>9.7992916200000002E-2</v>
      </c>
    </row>
    <row r="44" spans="1:10">
      <c r="A44" s="96">
        <v>2007</v>
      </c>
      <c r="B44" s="96" t="s">
        <v>148</v>
      </c>
      <c r="C44" s="96" t="s">
        <v>163</v>
      </c>
      <c r="D44" s="96">
        <v>305</v>
      </c>
      <c r="E44" s="96">
        <v>2269</v>
      </c>
      <c r="F44" s="96">
        <v>10107</v>
      </c>
      <c r="G44" s="96">
        <v>12681</v>
      </c>
      <c r="H44" s="96">
        <v>0.17892910649999999</v>
      </c>
      <c r="I44" s="96">
        <v>0.79701916250000004</v>
      </c>
      <c r="J44" s="96">
        <v>2.4051730899999998E-2</v>
      </c>
    </row>
    <row r="45" spans="1:10">
      <c r="A45" s="96">
        <v>2007</v>
      </c>
      <c r="B45" s="96" t="s">
        <v>148</v>
      </c>
      <c r="C45" s="96" t="s">
        <v>164</v>
      </c>
      <c r="D45" s="96">
        <v>8</v>
      </c>
      <c r="E45" s="96">
        <v>1541</v>
      </c>
      <c r="F45" s="96">
        <v>769</v>
      </c>
      <c r="G45" s="96">
        <v>2318</v>
      </c>
      <c r="H45" s="96">
        <v>0.66479723899999998</v>
      </c>
      <c r="I45" s="96">
        <v>0.33175150990000002</v>
      </c>
      <c r="J45" s="96">
        <v>3.4512510999999998E-3</v>
      </c>
    </row>
    <row r="46" spans="1:10">
      <c r="A46" s="96">
        <v>2007</v>
      </c>
      <c r="B46" s="96" t="s">
        <v>148</v>
      </c>
      <c r="C46" s="96" t="s">
        <v>165</v>
      </c>
      <c r="D46" s="96">
        <v>313</v>
      </c>
      <c r="E46" s="96">
        <v>6016</v>
      </c>
      <c r="F46" s="96">
        <v>4469</v>
      </c>
      <c r="G46" s="96">
        <v>10798</v>
      </c>
      <c r="H46" s="96">
        <v>0.55714021120000001</v>
      </c>
      <c r="I46" s="96">
        <v>0.41387293939999997</v>
      </c>
      <c r="J46" s="96">
        <v>2.89868494E-2</v>
      </c>
    </row>
    <row r="47" spans="1:10">
      <c r="A47" s="96">
        <v>2007</v>
      </c>
      <c r="B47" s="96" t="s">
        <v>148</v>
      </c>
      <c r="C47" s="96" t="s">
        <v>166</v>
      </c>
      <c r="D47" s="96">
        <v>154</v>
      </c>
      <c r="E47" s="96">
        <v>2193</v>
      </c>
      <c r="F47" s="96">
        <v>394</v>
      </c>
      <c r="G47" s="96">
        <v>2741</v>
      </c>
      <c r="H47" s="96">
        <v>0.8000729661</v>
      </c>
      <c r="I47" s="96">
        <v>0.14374315939999999</v>
      </c>
      <c r="J47" s="96">
        <v>5.6183874500000001E-2</v>
      </c>
    </row>
    <row r="48" spans="1:10">
      <c r="A48" s="96">
        <v>2007</v>
      </c>
      <c r="B48" s="96" t="s">
        <v>148</v>
      </c>
      <c r="C48" s="96" t="s">
        <v>167</v>
      </c>
      <c r="D48" s="96">
        <v>2</v>
      </c>
      <c r="E48" s="96">
        <v>440</v>
      </c>
      <c r="F48" s="96">
        <v>442</v>
      </c>
      <c r="G48" s="96">
        <v>884</v>
      </c>
      <c r="H48" s="96">
        <v>0.49773755660000002</v>
      </c>
      <c r="I48" s="96">
        <v>0.5</v>
      </c>
      <c r="J48" s="96">
        <v>2.2624434E-3</v>
      </c>
    </row>
    <row r="49" spans="1:10">
      <c r="A49" s="96">
        <v>2007</v>
      </c>
      <c r="B49" s="96" t="s">
        <v>148</v>
      </c>
      <c r="C49" s="96" t="s">
        <v>168</v>
      </c>
      <c r="D49" s="96">
        <v>424</v>
      </c>
      <c r="E49" s="96">
        <v>1623</v>
      </c>
      <c r="F49" s="96">
        <v>5206</v>
      </c>
      <c r="G49" s="96">
        <v>7253</v>
      </c>
      <c r="H49" s="96">
        <v>0.2237694747</v>
      </c>
      <c r="I49" s="96">
        <v>0.71777195640000002</v>
      </c>
      <c r="J49" s="96">
        <v>5.8458568900000001E-2</v>
      </c>
    </row>
    <row r="50" spans="1:10">
      <c r="A50" s="96">
        <v>2007</v>
      </c>
      <c r="B50" s="96" t="s">
        <v>148</v>
      </c>
      <c r="C50" s="96" t="s">
        <v>169</v>
      </c>
      <c r="D50" s="96">
        <v>733</v>
      </c>
      <c r="E50" s="96">
        <v>2335</v>
      </c>
      <c r="F50" s="96">
        <v>906</v>
      </c>
      <c r="G50" s="96">
        <v>3974</v>
      </c>
      <c r="H50" s="96">
        <v>0.5875691998</v>
      </c>
      <c r="I50" s="96">
        <v>0.22798188220000001</v>
      </c>
      <c r="J50" s="96">
        <v>0.18444891799999999</v>
      </c>
    </row>
    <row r="51" spans="1:10">
      <c r="A51" s="96">
        <v>2007</v>
      </c>
      <c r="B51" s="96" t="s">
        <v>148</v>
      </c>
      <c r="C51" s="96" t="s">
        <v>170</v>
      </c>
      <c r="D51" s="96">
        <v>136</v>
      </c>
      <c r="E51" s="96">
        <v>638</v>
      </c>
      <c r="F51" s="96">
        <v>194</v>
      </c>
      <c r="G51" s="96">
        <v>968</v>
      </c>
      <c r="H51" s="96">
        <v>0.65909090910000001</v>
      </c>
      <c r="I51" s="96">
        <v>0.20041322310000001</v>
      </c>
      <c r="J51" s="96">
        <v>0.14049586780000001</v>
      </c>
    </row>
    <row r="52" spans="1:10">
      <c r="A52" s="96">
        <v>2007</v>
      </c>
      <c r="B52" s="96" t="s">
        <v>148</v>
      </c>
      <c r="C52" s="96" t="s">
        <v>171</v>
      </c>
      <c r="D52" s="96">
        <v>2</v>
      </c>
      <c r="E52" s="96">
        <v>804</v>
      </c>
      <c r="F52" s="96">
        <v>325</v>
      </c>
      <c r="G52" s="96">
        <v>1131</v>
      </c>
      <c r="H52" s="96">
        <v>0.71087533160000005</v>
      </c>
      <c r="I52" s="96">
        <v>0.28735632179999998</v>
      </c>
      <c r="J52" s="96">
        <v>1.7683466000000001E-3</v>
      </c>
    </row>
    <row r="53" spans="1:10">
      <c r="A53" s="96">
        <v>2007</v>
      </c>
      <c r="B53" s="96" t="s">
        <v>148</v>
      </c>
      <c r="C53" s="96" t="s">
        <v>172</v>
      </c>
      <c r="D53" s="96">
        <v>25</v>
      </c>
      <c r="E53" s="96">
        <v>674</v>
      </c>
      <c r="F53" s="96">
        <v>268</v>
      </c>
      <c r="G53" s="96">
        <v>967</v>
      </c>
      <c r="H53" s="96">
        <v>0.69700103410000003</v>
      </c>
      <c r="I53" s="96">
        <v>0.27714581179999997</v>
      </c>
      <c r="J53" s="96">
        <v>2.5853154100000001E-2</v>
      </c>
    </row>
    <row r="54" spans="1:10">
      <c r="A54" s="96">
        <v>2008</v>
      </c>
      <c r="B54" s="96" t="s">
        <v>145</v>
      </c>
      <c r="C54" s="96" t="s">
        <v>146</v>
      </c>
      <c r="D54" s="96">
        <v>31</v>
      </c>
      <c r="E54" s="96">
        <v>74</v>
      </c>
      <c r="F54" s="96">
        <v>226</v>
      </c>
      <c r="G54" s="96">
        <v>331</v>
      </c>
      <c r="H54" s="96">
        <v>0.22356495470000001</v>
      </c>
      <c r="I54" s="96">
        <v>0.68277945620000002</v>
      </c>
      <c r="J54" s="96">
        <v>9.3655589100000006E-2</v>
      </c>
    </row>
    <row r="55" spans="1:10">
      <c r="A55" s="96">
        <v>2008</v>
      </c>
      <c r="B55" s="96" t="s">
        <v>148</v>
      </c>
      <c r="C55" s="96" t="s">
        <v>149</v>
      </c>
      <c r="D55" s="96">
        <v>105</v>
      </c>
      <c r="E55" s="96">
        <v>761</v>
      </c>
      <c r="F55" s="96">
        <v>347</v>
      </c>
      <c r="G55" s="96">
        <v>1213</v>
      </c>
      <c r="H55" s="96">
        <v>0.62737015659999995</v>
      </c>
      <c r="I55" s="96">
        <v>0.286067601</v>
      </c>
      <c r="J55" s="96">
        <v>8.6562242400000003E-2</v>
      </c>
    </row>
    <row r="56" spans="1:10">
      <c r="A56" s="96">
        <v>2008</v>
      </c>
      <c r="B56" s="96" t="s">
        <v>148</v>
      </c>
      <c r="C56" s="96" t="s">
        <v>150</v>
      </c>
      <c r="D56" s="96">
        <v>1829</v>
      </c>
      <c r="E56" s="96">
        <v>800</v>
      </c>
      <c r="F56" s="96">
        <v>0</v>
      </c>
      <c r="G56" s="96">
        <v>2629</v>
      </c>
      <c r="H56" s="96">
        <v>0.30429821219999997</v>
      </c>
      <c r="I56" s="96">
        <v>0</v>
      </c>
      <c r="J56" s="96">
        <v>0.69570178780000003</v>
      </c>
    </row>
    <row r="57" spans="1:10">
      <c r="A57" s="96">
        <v>2008</v>
      </c>
      <c r="B57" s="96" t="s">
        <v>148</v>
      </c>
      <c r="C57" s="96" t="s">
        <v>151</v>
      </c>
      <c r="D57" s="96">
        <v>17</v>
      </c>
      <c r="E57" s="96">
        <v>925</v>
      </c>
      <c r="F57" s="96">
        <v>107</v>
      </c>
      <c r="G57" s="96">
        <v>1049</v>
      </c>
      <c r="H57" s="96">
        <v>0.88179218299999995</v>
      </c>
      <c r="I57" s="96">
        <v>0.1020019066</v>
      </c>
      <c r="J57" s="96">
        <v>1.6205910399999999E-2</v>
      </c>
    </row>
    <row r="58" spans="1:10">
      <c r="A58" s="96">
        <v>2008</v>
      </c>
      <c r="B58" s="96" t="s">
        <v>148</v>
      </c>
      <c r="C58" s="96" t="s">
        <v>152</v>
      </c>
      <c r="D58" s="96">
        <v>28</v>
      </c>
      <c r="E58" s="96">
        <v>914</v>
      </c>
      <c r="F58" s="96">
        <v>404</v>
      </c>
      <c r="G58" s="96">
        <v>1346</v>
      </c>
      <c r="H58" s="96">
        <v>0.67904903419999996</v>
      </c>
      <c r="I58" s="96">
        <v>0.30014858840000003</v>
      </c>
      <c r="J58" s="96">
        <v>2.0802377399999999E-2</v>
      </c>
    </row>
    <row r="59" spans="1:10">
      <c r="A59" s="96">
        <v>2008</v>
      </c>
      <c r="B59" s="96" t="s">
        <v>148</v>
      </c>
      <c r="C59" s="96" t="s">
        <v>153</v>
      </c>
      <c r="D59" s="96">
        <v>414</v>
      </c>
      <c r="E59" s="96">
        <v>6178</v>
      </c>
      <c r="F59" s="96">
        <v>6862</v>
      </c>
      <c r="G59" s="96">
        <v>13454</v>
      </c>
      <c r="H59" s="96">
        <v>0.45919429169999998</v>
      </c>
      <c r="I59" s="96">
        <v>0.51003419059999999</v>
      </c>
      <c r="J59" s="96">
        <v>3.0771517799999999E-2</v>
      </c>
    </row>
    <row r="60" spans="1:10">
      <c r="A60" s="96">
        <v>2008</v>
      </c>
      <c r="B60" s="96" t="s">
        <v>148</v>
      </c>
      <c r="C60" s="96" t="s">
        <v>154</v>
      </c>
      <c r="D60" s="96">
        <v>19</v>
      </c>
      <c r="E60" s="96">
        <v>424</v>
      </c>
      <c r="F60" s="96">
        <v>367</v>
      </c>
      <c r="G60" s="96">
        <v>810</v>
      </c>
      <c r="H60" s="96">
        <v>0.52345679010000001</v>
      </c>
      <c r="I60" s="96">
        <v>0.45308641979999997</v>
      </c>
      <c r="J60" s="96">
        <v>2.34567901E-2</v>
      </c>
    </row>
    <row r="61" spans="1:10">
      <c r="A61" s="96">
        <v>2008</v>
      </c>
      <c r="B61" s="96" t="s">
        <v>148</v>
      </c>
      <c r="C61" s="96" t="s">
        <v>155</v>
      </c>
      <c r="D61" s="96">
        <v>109</v>
      </c>
      <c r="E61" s="96">
        <v>4127</v>
      </c>
      <c r="F61" s="96">
        <v>391</v>
      </c>
      <c r="G61" s="96">
        <v>4627</v>
      </c>
      <c r="H61" s="96">
        <v>0.8919386211</v>
      </c>
      <c r="I61" s="96">
        <v>8.4503998299999994E-2</v>
      </c>
      <c r="J61" s="96">
        <v>2.35573806E-2</v>
      </c>
    </row>
    <row r="62" spans="1:10">
      <c r="A62" s="96">
        <v>2008</v>
      </c>
      <c r="B62" s="96" t="s">
        <v>148</v>
      </c>
      <c r="C62" s="96" t="s">
        <v>156</v>
      </c>
      <c r="D62" s="96">
        <v>14</v>
      </c>
      <c r="E62" s="96">
        <v>835</v>
      </c>
      <c r="F62" s="96">
        <v>877</v>
      </c>
      <c r="G62" s="96">
        <v>1726</v>
      </c>
      <c r="H62" s="96">
        <v>0.48377752029999999</v>
      </c>
      <c r="I62" s="96">
        <v>0.50811123989999996</v>
      </c>
      <c r="J62" s="96">
        <v>8.1112399000000009E-3</v>
      </c>
    </row>
    <row r="63" spans="1:10">
      <c r="A63" s="96">
        <v>2008</v>
      </c>
      <c r="B63" s="96" t="s">
        <v>148</v>
      </c>
      <c r="C63" s="96" t="s">
        <v>157</v>
      </c>
      <c r="D63" s="96">
        <v>24</v>
      </c>
      <c r="E63" s="96">
        <v>1862</v>
      </c>
      <c r="F63" s="96">
        <v>198</v>
      </c>
      <c r="G63" s="96">
        <v>2084</v>
      </c>
      <c r="H63" s="96">
        <v>0.89347408829999997</v>
      </c>
      <c r="I63" s="96">
        <v>9.5009596900000007E-2</v>
      </c>
      <c r="J63" s="96">
        <v>1.15163148E-2</v>
      </c>
    </row>
    <row r="64" spans="1:10">
      <c r="A64" s="96">
        <v>2008</v>
      </c>
      <c r="B64" s="96" t="s">
        <v>148</v>
      </c>
      <c r="C64" s="96" t="s">
        <v>158</v>
      </c>
      <c r="D64" s="96">
        <v>131</v>
      </c>
      <c r="E64" s="96">
        <v>763</v>
      </c>
      <c r="F64" s="96">
        <v>191</v>
      </c>
      <c r="G64" s="96">
        <v>1085</v>
      </c>
      <c r="H64" s="96">
        <v>0.70322580649999999</v>
      </c>
      <c r="I64" s="96">
        <v>0.17603686639999999</v>
      </c>
      <c r="J64" s="96">
        <v>0.12073732719999999</v>
      </c>
    </row>
    <row r="65" spans="1:10">
      <c r="A65" s="96">
        <v>2008</v>
      </c>
      <c r="B65" s="96" t="s">
        <v>148</v>
      </c>
      <c r="C65" s="96" t="s">
        <v>159</v>
      </c>
      <c r="D65" s="96">
        <v>698</v>
      </c>
      <c r="E65" s="96">
        <v>4450</v>
      </c>
      <c r="F65" s="96">
        <v>1196</v>
      </c>
      <c r="G65" s="96">
        <v>6344</v>
      </c>
      <c r="H65" s="96">
        <v>0.70145018920000002</v>
      </c>
      <c r="I65" s="96">
        <v>0.18852459020000001</v>
      </c>
      <c r="J65" s="96">
        <v>0.1100252207</v>
      </c>
    </row>
    <row r="66" spans="1:10">
      <c r="A66" s="96">
        <v>2008</v>
      </c>
      <c r="B66" s="96" t="s">
        <v>148</v>
      </c>
      <c r="C66" s="96" t="s">
        <v>160</v>
      </c>
      <c r="D66" s="96">
        <v>3</v>
      </c>
      <c r="E66" s="96">
        <v>2551</v>
      </c>
      <c r="F66" s="96">
        <v>368</v>
      </c>
      <c r="G66" s="96">
        <v>2922</v>
      </c>
      <c r="H66" s="96">
        <v>0.87303216969999997</v>
      </c>
      <c r="I66" s="96">
        <v>0.1259411362</v>
      </c>
      <c r="J66" s="96">
        <v>1.0266940000000001E-3</v>
      </c>
    </row>
    <row r="67" spans="1:10">
      <c r="A67" s="96">
        <v>2008</v>
      </c>
      <c r="B67" s="96" t="s">
        <v>148</v>
      </c>
      <c r="C67" s="96" t="s">
        <v>161</v>
      </c>
      <c r="D67" s="96">
        <v>313</v>
      </c>
      <c r="E67" s="96">
        <v>2777</v>
      </c>
      <c r="F67" s="96">
        <v>147</v>
      </c>
      <c r="G67" s="96">
        <v>3237</v>
      </c>
      <c r="H67" s="96">
        <v>0.85789311089999998</v>
      </c>
      <c r="I67" s="96">
        <v>4.5412418900000001E-2</v>
      </c>
      <c r="J67" s="96">
        <v>9.6694470199999993E-2</v>
      </c>
    </row>
    <row r="68" spans="1:10">
      <c r="A68" s="96">
        <v>2008</v>
      </c>
      <c r="B68" s="96" t="s">
        <v>148</v>
      </c>
      <c r="C68" s="96" t="s">
        <v>162</v>
      </c>
      <c r="D68" s="96">
        <v>145</v>
      </c>
      <c r="E68" s="96">
        <v>1186</v>
      </c>
      <c r="F68" s="96">
        <v>396</v>
      </c>
      <c r="G68" s="96">
        <v>1727</v>
      </c>
      <c r="H68" s="96">
        <v>0.68674001159999998</v>
      </c>
      <c r="I68" s="96">
        <v>0.22929936309999999</v>
      </c>
      <c r="J68" s="96">
        <v>8.3960625400000002E-2</v>
      </c>
    </row>
    <row r="69" spans="1:10">
      <c r="A69" s="96">
        <v>2008</v>
      </c>
      <c r="B69" s="96" t="s">
        <v>148</v>
      </c>
      <c r="C69" s="96" t="s">
        <v>163</v>
      </c>
      <c r="D69" s="96">
        <v>472</v>
      </c>
      <c r="E69" s="96">
        <v>2424</v>
      </c>
      <c r="F69" s="96">
        <v>8969</v>
      </c>
      <c r="G69" s="96">
        <v>11865</v>
      </c>
      <c r="H69" s="96">
        <v>0.2042983565</v>
      </c>
      <c r="I69" s="96">
        <v>0.75592077540000002</v>
      </c>
      <c r="J69" s="96">
        <v>3.9780868099999998E-2</v>
      </c>
    </row>
    <row r="70" spans="1:10">
      <c r="A70" s="96">
        <v>2008</v>
      </c>
      <c r="B70" s="96" t="s">
        <v>148</v>
      </c>
      <c r="C70" s="96" t="s">
        <v>164</v>
      </c>
      <c r="D70" s="96">
        <v>6</v>
      </c>
      <c r="E70" s="96">
        <v>1473</v>
      </c>
      <c r="F70" s="96">
        <v>763</v>
      </c>
      <c r="G70" s="96">
        <v>2242</v>
      </c>
      <c r="H70" s="96">
        <v>0.65700267619999997</v>
      </c>
      <c r="I70" s="96">
        <v>0.3403211418</v>
      </c>
      <c r="J70" s="96">
        <v>2.676182E-3</v>
      </c>
    </row>
    <row r="71" spans="1:10">
      <c r="A71" s="96">
        <v>2008</v>
      </c>
      <c r="B71" s="96" t="s">
        <v>148</v>
      </c>
      <c r="C71" s="96" t="s">
        <v>165</v>
      </c>
      <c r="D71" s="96">
        <v>679</v>
      </c>
      <c r="E71" s="96">
        <v>6012</v>
      </c>
      <c r="F71" s="96">
        <v>4496</v>
      </c>
      <c r="G71" s="96">
        <v>11187</v>
      </c>
      <c r="H71" s="96">
        <v>0.53740949319999998</v>
      </c>
      <c r="I71" s="96">
        <v>0.40189505679999998</v>
      </c>
      <c r="J71" s="96">
        <v>6.0695450099999999E-2</v>
      </c>
    </row>
    <row r="72" spans="1:10">
      <c r="A72" s="96">
        <v>2008</v>
      </c>
      <c r="B72" s="96" t="s">
        <v>148</v>
      </c>
      <c r="C72" s="96" t="s">
        <v>166</v>
      </c>
      <c r="D72" s="96">
        <v>136</v>
      </c>
      <c r="E72" s="96">
        <v>2249</v>
      </c>
      <c r="F72" s="96">
        <v>413</v>
      </c>
      <c r="G72" s="96">
        <v>2798</v>
      </c>
      <c r="H72" s="96">
        <v>0.80378842029999997</v>
      </c>
      <c r="I72" s="96">
        <v>0.14760543249999999</v>
      </c>
      <c r="J72" s="96">
        <v>4.8606147199999998E-2</v>
      </c>
    </row>
    <row r="73" spans="1:10">
      <c r="A73" s="96">
        <v>2008</v>
      </c>
      <c r="B73" s="96" t="s">
        <v>148</v>
      </c>
      <c r="C73" s="96" t="s">
        <v>167</v>
      </c>
      <c r="D73" s="96">
        <v>4</v>
      </c>
      <c r="E73" s="96">
        <v>490</v>
      </c>
      <c r="F73" s="96">
        <v>449</v>
      </c>
      <c r="G73" s="96">
        <v>943</v>
      </c>
      <c r="H73" s="96">
        <v>0.51961823969999998</v>
      </c>
      <c r="I73" s="96">
        <v>0.47613997879999997</v>
      </c>
      <c r="J73" s="96">
        <v>4.2417814999999998E-3</v>
      </c>
    </row>
    <row r="74" spans="1:10">
      <c r="A74" s="96">
        <v>2008</v>
      </c>
      <c r="B74" s="96" t="s">
        <v>148</v>
      </c>
      <c r="C74" s="96" t="s">
        <v>168</v>
      </c>
      <c r="D74" s="96">
        <v>425</v>
      </c>
      <c r="E74" s="96">
        <v>1447</v>
      </c>
      <c r="F74" s="96">
        <v>5113</v>
      </c>
      <c r="G74" s="96">
        <v>6985</v>
      </c>
      <c r="H74" s="96">
        <v>0.2071581961</v>
      </c>
      <c r="I74" s="96">
        <v>0.7319971367</v>
      </c>
      <c r="J74" s="96">
        <v>6.0844667099999999E-2</v>
      </c>
    </row>
    <row r="75" spans="1:10">
      <c r="A75" s="96">
        <v>2008</v>
      </c>
      <c r="B75" s="96" t="s">
        <v>148</v>
      </c>
      <c r="C75" s="96" t="s">
        <v>169</v>
      </c>
      <c r="D75" s="96">
        <v>754</v>
      </c>
      <c r="E75" s="96">
        <v>2278</v>
      </c>
      <c r="F75" s="96">
        <v>924</v>
      </c>
      <c r="G75" s="96">
        <v>3956</v>
      </c>
      <c r="H75" s="96">
        <v>0.57583417589999997</v>
      </c>
      <c r="I75" s="96">
        <v>0.23356926189999999</v>
      </c>
      <c r="J75" s="96">
        <v>0.19059656220000001</v>
      </c>
    </row>
    <row r="76" spans="1:10">
      <c r="A76" s="96">
        <v>2008</v>
      </c>
      <c r="B76" s="96" t="s">
        <v>148</v>
      </c>
      <c r="C76" s="96" t="s">
        <v>170</v>
      </c>
      <c r="D76" s="96">
        <v>167</v>
      </c>
      <c r="E76" s="96">
        <v>628</v>
      </c>
      <c r="F76" s="96">
        <v>205</v>
      </c>
      <c r="G76" s="96">
        <v>1000</v>
      </c>
      <c r="H76" s="96">
        <v>0.628</v>
      </c>
      <c r="I76" s="96">
        <v>0.20499999999999999</v>
      </c>
      <c r="J76" s="96">
        <v>0.16700000000000001</v>
      </c>
    </row>
    <row r="77" spans="1:10">
      <c r="A77" s="96">
        <v>2008</v>
      </c>
      <c r="B77" s="96" t="s">
        <v>148</v>
      </c>
      <c r="C77" s="96" t="s">
        <v>171</v>
      </c>
      <c r="D77" s="96">
        <v>6</v>
      </c>
      <c r="E77" s="96">
        <v>872</v>
      </c>
      <c r="F77" s="96">
        <v>332</v>
      </c>
      <c r="G77" s="96">
        <v>1210</v>
      </c>
      <c r="H77" s="96">
        <v>0.720661157</v>
      </c>
      <c r="I77" s="96">
        <v>0.27438016529999998</v>
      </c>
      <c r="J77" s="96">
        <v>4.9586776999999997E-3</v>
      </c>
    </row>
    <row r="78" spans="1:10">
      <c r="A78" s="96">
        <v>2008</v>
      </c>
      <c r="B78" s="96" t="s">
        <v>148</v>
      </c>
      <c r="C78" s="96" t="s">
        <v>172</v>
      </c>
      <c r="D78" s="96">
        <v>15</v>
      </c>
      <c r="E78" s="96">
        <v>693</v>
      </c>
      <c r="F78" s="96">
        <v>291</v>
      </c>
      <c r="G78" s="96">
        <v>999</v>
      </c>
      <c r="H78" s="96">
        <v>0.6936936937</v>
      </c>
      <c r="I78" s="96">
        <v>0.29129129129999998</v>
      </c>
      <c r="J78" s="96">
        <v>1.5015015E-2</v>
      </c>
    </row>
    <row r="79" spans="1:10">
      <c r="A79" s="96">
        <v>2009</v>
      </c>
      <c r="B79" s="96" t="s">
        <v>145</v>
      </c>
      <c r="C79" s="96" t="s">
        <v>146</v>
      </c>
      <c r="D79" s="96">
        <v>41</v>
      </c>
      <c r="E79" s="96">
        <v>63</v>
      </c>
      <c r="F79" s="96">
        <v>205</v>
      </c>
      <c r="G79" s="96">
        <v>309</v>
      </c>
      <c r="H79" s="96">
        <v>0.20388349510000001</v>
      </c>
      <c r="I79" s="96">
        <v>0.66343042070000002</v>
      </c>
      <c r="J79" s="96">
        <v>0.13268608409999999</v>
      </c>
    </row>
    <row r="80" spans="1:10">
      <c r="A80" s="96">
        <v>2009</v>
      </c>
      <c r="B80" s="96" t="s">
        <v>148</v>
      </c>
      <c r="C80" s="96" t="s">
        <v>149</v>
      </c>
      <c r="D80" s="96">
        <v>86</v>
      </c>
      <c r="E80" s="96">
        <v>739</v>
      </c>
      <c r="F80" s="96">
        <v>326</v>
      </c>
      <c r="G80" s="96">
        <v>1151</v>
      </c>
      <c r="H80" s="96">
        <v>0.64205039100000005</v>
      </c>
      <c r="I80" s="96">
        <v>0.28323197220000002</v>
      </c>
      <c r="J80" s="96">
        <v>7.4717636800000001E-2</v>
      </c>
    </row>
    <row r="81" spans="1:10">
      <c r="A81" s="96">
        <v>2009</v>
      </c>
      <c r="B81" s="96" t="s">
        <v>148</v>
      </c>
      <c r="C81" s="96" t="s">
        <v>150</v>
      </c>
      <c r="D81" s="96">
        <v>40</v>
      </c>
      <c r="E81" s="96">
        <v>907</v>
      </c>
      <c r="F81" s="96">
        <v>104</v>
      </c>
      <c r="G81" s="96">
        <v>1051</v>
      </c>
      <c r="H81" s="96">
        <v>0.86298763079999996</v>
      </c>
      <c r="I81" s="96">
        <v>9.8953377699999998E-2</v>
      </c>
      <c r="J81" s="96">
        <v>3.8058991399999999E-2</v>
      </c>
    </row>
    <row r="82" spans="1:10">
      <c r="A82" s="96">
        <v>2009</v>
      </c>
      <c r="B82" s="96" t="s">
        <v>148</v>
      </c>
      <c r="C82" s="96" t="s">
        <v>151</v>
      </c>
      <c r="D82" s="96">
        <v>249</v>
      </c>
      <c r="E82" s="96">
        <v>939</v>
      </c>
      <c r="F82" s="96">
        <v>13</v>
      </c>
      <c r="G82" s="96">
        <v>1201</v>
      </c>
      <c r="H82" s="96">
        <v>0.78184845960000005</v>
      </c>
      <c r="I82" s="96">
        <v>1.08243131E-2</v>
      </c>
      <c r="J82" s="96">
        <v>0.2073272273</v>
      </c>
    </row>
    <row r="83" spans="1:10">
      <c r="A83" s="96">
        <v>2009</v>
      </c>
      <c r="B83" s="96" t="s">
        <v>148</v>
      </c>
      <c r="C83" s="96" t="s">
        <v>152</v>
      </c>
      <c r="D83" s="96">
        <v>19</v>
      </c>
      <c r="E83" s="96">
        <v>953</v>
      </c>
      <c r="F83" s="96">
        <v>381</v>
      </c>
      <c r="G83" s="96">
        <v>1353</v>
      </c>
      <c r="H83" s="96">
        <v>0.70436067999999996</v>
      </c>
      <c r="I83" s="96">
        <v>0.28159645230000002</v>
      </c>
      <c r="J83" s="96">
        <v>1.4042867699999999E-2</v>
      </c>
    </row>
    <row r="84" spans="1:10">
      <c r="A84" s="96">
        <v>2009</v>
      </c>
      <c r="B84" s="96" t="s">
        <v>148</v>
      </c>
      <c r="C84" s="96" t="s">
        <v>153</v>
      </c>
      <c r="D84" s="96">
        <v>492</v>
      </c>
      <c r="E84" s="96">
        <v>6768</v>
      </c>
      <c r="F84" s="96">
        <v>7459</v>
      </c>
      <c r="G84" s="96">
        <v>14719</v>
      </c>
      <c r="H84" s="96">
        <v>0.45981384600000003</v>
      </c>
      <c r="I84" s="96">
        <v>0.50675997009999996</v>
      </c>
      <c r="J84" s="96">
        <v>3.3426183800000002E-2</v>
      </c>
    </row>
    <row r="85" spans="1:10">
      <c r="A85" s="96">
        <v>2009</v>
      </c>
      <c r="B85" s="96" t="s">
        <v>148</v>
      </c>
      <c r="C85" s="96" t="s">
        <v>154</v>
      </c>
      <c r="D85" s="96">
        <v>23</v>
      </c>
      <c r="E85" s="96">
        <v>383</v>
      </c>
      <c r="F85" s="96">
        <v>348</v>
      </c>
      <c r="G85" s="96">
        <v>754</v>
      </c>
      <c r="H85" s="96">
        <v>0.50795755970000001</v>
      </c>
      <c r="I85" s="96">
        <v>0.4615384615</v>
      </c>
      <c r="J85" s="96">
        <v>3.0503978800000001E-2</v>
      </c>
    </row>
    <row r="86" spans="1:10">
      <c r="A86" s="96">
        <v>2009</v>
      </c>
      <c r="B86" s="96" t="s">
        <v>148</v>
      </c>
      <c r="C86" s="96" t="s">
        <v>155</v>
      </c>
      <c r="D86" s="96">
        <v>128</v>
      </c>
      <c r="E86" s="96">
        <v>4484</v>
      </c>
      <c r="F86" s="96">
        <v>359</v>
      </c>
      <c r="G86" s="96">
        <v>4971</v>
      </c>
      <c r="H86" s="96">
        <v>0.90203178429999997</v>
      </c>
      <c r="I86" s="96">
        <v>7.2218869399999996E-2</v>
      </c>
      <c r="J86" s="96">
        <v>2.5749346199999999E-2</v>
      </c>
    </row>
    <row r="87" spans="1:10">
      <c r="A87" s="96">
        <v>2009</v>
      </c>
      <c r="B87" s="96" t="s">
        <v>148</v>
      </c>
      <c r="C87" s="96" t="s">
        <v>156</v>
      </c>
      <c r="D87" s="96">
        <v>17</v>
      </c>
      <c r="E87" s="96">
        <v>873</v>
      </c>
      <c r="F87" s="96">
        <v>845</v>
      </c>
      <c r="G87" s="96">
        <v>1735</v>
      </c>
      <c r="H87" s="96">
        <v>0.50317002879999995</v>
      </c>
      <c r="I87" s="96">
        <v>0.48703170029999998</v>
      </c>
      <c r="J87" s="96">
        <v>9.7982708999999994E-3</v>
      </c>
    </row>
    <row r="88" spans="1:10">
      <c r="A88" s="96">
        <v>2009</v>
      </c>
      <c r="B88" s="96" t="s">
        <v>148</v>
      </c>
      <c r="C88" s="96" t="s">
        <v>157</v>
      </c>
      <c r="D88" s="96">
        <v>44</v>
      </c>
      <c r="E88" s="96">
        <v>1695</v>
      </c>
      <c r="F88" s="96">
        <v>204</v>
      </c>
      <c r="G88" s="96">
        <v>1943</v>
      </c>
      <c r="H88" s="96">
        <v>0.87236232629999999</v>
      </c>
      <c r="I88" s="96">
        <v>0.10499227999999999</v>
      </c>
      <c r="J88" s="96">
        <v>2.2645393699999999E-2</v>
      </c>
    </row>
    <row r="89" spans="1:10">
      <c r="A89" s="96">
        <v>2009</v>
      </c>
      <c r="B89" s="96" t="s">
        <v>148</v>
      </c>
      <c r="C89" s="96" t="s">
        <v>158</v>
      </c>
      <c r="D89" s="96">
        <v>83</v>
      </c>
      <c r="E89" s="96">
        <v>695</v>
      </c>
      <c r="F89" s="96">
        <v>244</v>
      </c>
      <c r="G89" s="96">
        <v>1022</v>
      </c>
      <c r="H89" s="96">
        <v>0.68003913890000001</v>
      </c>
      <c r="I89" s="96">
        <v>0.23874755380000001</v>
      </c>
      <c r="J89" s="96">
        <v>8.1213307200000001E-2</v>
      </c>
    </row>
    <row r="90" spans="1:10">
      <c r="A90" s="96">
        <v>2009</v>
      </c>
      <c r="B90" s="96" t="s">
        <v>148</v>
      </c>
      <c r="C90" s="96" t="s">
        <v>159</v>
      </c>
      <c r="D90" s="96">
        <v>765</v>
      </c>
      <c r="E90" s="96">
        <v>4335</v>
      </c>
      <c r="F90" s="96">
        <v>1283</v>
      </c>
      <c r="G90" s="96">
        <v>6383</v>
      </c>
      <c r="H90" s="96">
        <v>0.67914773620000002</v>
      </c>
      <c r="I90" s="96">
        <v>0.2010026633</v>
      </c>
      <c r="J90" s="96">
        <v>0.1198496005</v>
      </c>
    </row>
    <row r="91" spans="1:10">
      <c r="A91" s="96">
        <v>2009</v>
      </c>
      <c r="B91" s="96" t="s">
        <v>148</v>
      </c>
      <c r="C91" s="96" t="s">
        <v>160</v>
      </c>
      <c r="D91" s="96">
        <v>5</v>
      </c>
      <c r="E91" s="96">
        <v>2572</v>
      </c>
      <c r="F91" s="96">
        <v>357</v>
      </c>
      <c r="G91" s="96">
        <v>2934</v>
      </c>
      <c r="H91" s="96">
        <v>0.87661895020000002</v>
      </c>
      <c r="I91" s="96">
        <v>0.1216768916</v>
      </c>
      <c r="J91" s="96">
        <v>1.7041580999999999E-3</v>
      </c>
    </row>
    <row r="92" spans="1:10">
      <c r="A92" s="96">
        <v>2009</v>
      </c>
      <c r="B92" s="96" t="s">
        <v>148</v>
      </c>
      <c r="C92" s="96" t="s">
        <v>161</v>
      </c>
      <c r="D92" s="96">
        <v>296</v>
      </c>
      <c r="E92" s="96">
        <v>2899</v>
      </c>
      <c r="F92" s="96">
        <v>181</v>
      </c>
      <c r="G92" s="96">
        <v>3376</v>
      </c>
      <c r="H92" s="96">
        <v>0.85870853079999998</v>
      </c>
      <c r="I92" s="96">
        <v>5.3613744099999999E-2</v>
      </c>
      <c r="J92" s="96">
        <v>8.7677725100000006E-2</v>
      </c>
    </row>
    <row r="93" spans="1:10">
      <c r="A93" s="96">
        <v>2009</v>
      </c>
      <c r="B93" s="96" t="s">
        <v>148</v>
      </c>
      <c r="C93" s="96" t="s">
        <v>162</v>
      </c>
      <c r="D93" s="96">
        <v>157</v>
      </c>
      <c r="E93" s="96">
        <v>1234</v>
      </c>
      <c r="F93" s="96">
        <v>398</v>
      </c>
      <c r="G93" s="96">
        <v>1789</v>
      </c>
      <c r="H93" s="96">
        <v>0.68977082170000004</v>
      </c>
      <c r="I93" s="96">
        <v>0.22247065399999999</v>
      </c>
      <c r="J93" s="96">
        <v>8.7758524300000001E-2</v>
      </c>
    </row>
    <row r="94" spans="1:10">
      <c r="A94" s="96">
        <v>2009</v>
      </c>
      <c r="B94" s="96" t="s">
        <v>148</v>
      </c>
      <c r="C94" s="96" t="s">
        <v>163</v>
      </c>
      <c r="D94" s="96">
        <v>1322</v>
      </c>
      <c r="E94" s="96">
        <v>2457</v>
      </c>
      <c r="F94" s="96">
        <v>8147</v>
      </c>
      <c r="G94" s="96">
        <v>11926</v>
      </c>
      <c r="H94" s="96">
        <v>0.2060204595</v>
      </c>
      <c r="I94" s="96">
        <v>0.68312929730000005</v>
      </c>
      <c r="J94" s="96">
        <v>0.1108502432</v>
      </c>
    </row>
    <row r="95" spans="1:10">
      <c r="A95" s="96">
        <v>2009</v>
      </c>
      <c r="B95" s="96" t="s">
        <v>148</v>
      </c>
      <c r="C95" s="96" t="s">
        <v>164</v>
      </c>
      <c r="D95" s="96">
        <v>15</v>
      </c>
      <c r="E95" s="96">
        <v>1373</v>
      </c>
      <c r="F95" s="96">
        <v>732</v>
      </c>
      <c r="G95" s="96">
        <v>2120</v>
      </c>
      <c r="H95" s="96">
        <v>0.64764150939999998</v>
      </c>
      <c r="I95" s="96">
        <v>0.34528301890000002</v>
      </c>
      <c r="J95" s="96">
        <v>7.0754716999999996E-3</v>
      </c>
    </row>
    <row r="96" spans="1:10">
      <c r="A96" s="96">
        <v>2009</v>
      </c>
      <c r="B96" s="96" t="s">
        <v>148</v>
      </c>
      <c r="C96" s="96" t="s">
        <v>165</v>
      </c>
      <c r="D96" s="96">
        <v>860</v>
      </c>
      <c r="E96" s="96">
        <v>5664</v>
      </c>
      <c r="F96" s="96">
        <v>4635</v>
      </c>
      <c r="G96" s="96">
        <v>11159</v>
      </c>
      <c r="H96" s="96">
        <v>0.50757236309999998</v>
      </c>
      <c r="I96" s="96">
        <v>0.4153597993</v>
      </c>
      <c r="J96" s="96">
        <v>7.7067837599999994E-2</v>
      </c>
    </row>
    <row r="97" spans="1:10">
      <c r="A97" s="96">
        <v>2009</v>
      </c>
      <c r="B97" s="96" t="s">
        <v>148</v>
      </c>
      <c r="C97" s="96" t="s">
        <v>166</v>
      </c>
      <c r="D97" s="96">
        <v>110</v>
      </c>
      <c r="E97" s="96">
        <v>2393</v>
      </c>
      <c r="F97" s="96">
        <v>419</v>
      </c>
      <c r="G97" s="96">
        <v>2922</v>
      </c>
      <c r="H97" s="96">
        <v>0.81895961669999995</v>
      </c>
      <c r="I97" s="96">
        <v>0.143394935</v>
      </c>
      <c r="J97" s="96">
        <v>3.7645448300000002E-2</v>
      </c>
    </row>
    <row r="98" spans="1:10">
      <c r="A98" s="96">
        <v>2009</v>
      </c>
      <c r="B98" s="96" t="s">
        <v>148</v>
      </c>
      <c r="C98" s="96" t="s">
        <v>167</v>
      </c>
      <c r="D98" s="96">
        <v>2</v>
      </c>
      <c r="E98" s="96">
        <v>513</v>
      </c>
      <c r="F98" s="96">
        <v>436</v>
      </c>
      <c r="G98" s="96">
        <v>951</v>
      </c>
      <c r="H98" s="96">
        <v>0.53943217669999999</v>
      </c>
      <c r="I98" s="96">
        <v>0.45846477390000001</v>
      </c>
      <c r="J98" s="96">
        <v>2.1030494000000002E-3</v>
      </c>
    </row>
    <row r="99" spans="1:10">
      <c r="A99" s="96">
        <v>2009</v>
      </c>
      <c r="B99" s="96" t="s">
        <v>148</v>
      </c>
      <c r="C99" s="96" t="s">
        <v>168</v>
      </c>
      <c r="D99" s="96">
        <v>500</v>
      </c>
      <c r="E99" s="96">
        <v>1353</v>
      </c>
      <c r="F99" s="96">
        <v>5193</v>
      </c>
      <c r="G99" s="96">
        <v>7046</v>
      </c>
      <c r="H99" s="96">
        <v>0.1920238433</v>
      </c>
      <c r="I99" s="96">
        <v>0.73701390860000005</v>
      </c>
      <c r="J99" s="96">
        <v>7.09622481E-2</v>
      </c>
    </row>
    <row r="100" spans="1:10">
      <c r="A100" s="96">
        <v>2009</v>
      </c>
      <c r="B100" s="96" t="s">
        <v>148</v>
      </c>
      <c r="C100" s="96" t="s">
        <v>169</v>
      </c>
      <c r="D100" s="96">
        <v>37</v>
      </c>
      <c r="E100" s="96">
        <v>793</v>
      </c>
      <c r="F100" s="96">
        <v>52</v>
      </c>
      <c r="G100" s="96">
        <v>882</v>
      </c>
      <c r="H100" s="96">
        <v>0.89909297050000003</v>
      </c>
      <c r="I100" s="96">
        <v>5.8956916099999999E-2</v>
      </c>
      <c r="J100" s="96">
        <v>4.1950113400000003E-2</v>
      </c>
    </row>
    <row r="101" spans="1:10">
      <c r="A101" s="96">
        <v>2009</v>
      </c>
      <c r="B101" s="96" t="s">
        <v>148</v>
      </c>
      <c r="C101" s="96" t="s">
        <v>170</v>
      </c>
      <c r="D101" s="96">
        <v>170</v>
      </c>
      <c r="E101" s="96">
        <v>694</v>
      </c>
      <c r="F101" s="96">
        <v>223</v>
      </c>
      <c r="G101" s="96">
        <v>1087</v>
      </c>
      <c r="H101" s="96">
        <v>0.63845446179999998</v>
      </c>
      <c r="I101" s="96">
        <v>0.20515179389999999</v>
      </c>
      <c r="J101" s="96">
        <v>0.1563937443</v>
      </c>
    </row>
    <row r="102" spans="1:10">
      <c r="A102" s="96">
        <v>2009</v>
      </c>
      <c r="B102" s="96" t="s">
        <v>148</v>
      </c>
      <c r="C102" s="96" t="s">
        <v>171</v>
      </c>
      <c r="D102" s="96">
        <v>22</v>
      </c>
      <c r="E102" s="96">
        <v>732</v>
      </c>
      <c r="F102" s="96">
        <v>329</v>
      </c>
      <c r="G102" s="96">
        <v>1083</v>
      </c>
      <c r="H102" s="96">
        <v>0.67590027699999999</v>
      </c>
      <c r="I102" s="96">
        <v>0.30378578020000002</v>
      </c>
      <c r="J102" s="96">
        <v>2.0313942799999998E-2</v>
      </c>
    </row>
    <row r="103" spans="1:10">
      <c r="A103" s="96">
        <v>2009</v>
      </c>
      <c r="B103" s="96" t="s">
        <v>148</v>
      </c>
      <c r="C103" s="96" t="s">
        <v>172</v>
      </c>
      <c r="D103" s="96">
        <v>20</v>
      </c>
      <c r="E103" s="96">
        <v>772</v>
      </c>
      <c r="F103" s="96">
        <v>304</v>
      </c>
      <c r="G103" s="96">
        <v>1096</v>
      </c>
      <c r="H103" s="96">
        <v>0.70437956199999996</v>
      </c>
      <c r="I103" s="96">
        <v>0.27737226279999999</v>
      </c>
      <c r="J103" s="96">
        <v>1.8248175200000001E-2</v>
      </c>
    </row>
    <row r="104" spans="1:10">
      <c r="A104" s="96">
        <v>2010</v>
      </c>
      <c r="B104" s="96" t="s">
        <v>145</v>
      </c>
      <c r="C104" s="96" t="s">
        <v>146</v>
      </c>
      <c r="D104" s="96">
        <v>33</v>
      </c>
      <c r="E104" s="96">
        <v>46</v>
      </c>
      <c r="F104" s="96">
        <v>224</v>
      </c>
      <c r="G104" s="96">
        <v>303</v>
      </c>
      <c r="H104" s="96">
        <v>0.15181518150000001</v>
      </c>
      <c r="I104" s="96">
        <v>0.73927392739999997</v>
      </c>
      <c r="J104" s="96">
        <v>0.1089108911</v>
      </c>
    </row>
    <row r="105" spans="1:10">
      <c r="A105" s="96">
        <v>2010</v>
      </c>
      <c r="B105" s="96" t="s">
        <v>145</v>
      </c>
      <c r="C105" s="96" t="s">
        <v>147</v>
      </c>
      <c r="D105" s="96">
        <v>34</v>
      </c>
      <c r="E105" s="96">
        <v>823</v>
      </c>
      <c r="F105" s="96">
        <v>52</v>
      </c>
      <c r="G105" s="96">
        <v>909</v>
      </c>
      <c r="H105" s="96">
        <v>0.9053905391</v>
      </c>
      <c r="I105" s="96">
        <v>5.7205720600000003E-2</v>
      </c>
      <c r="J105" s="96">
        <v>3.7403740400000003E-2</v>
      </c>
    </row>
    <row r="106" spans="1:10">
      <c r="A106" s="96">
        <v>2010</v>
      </c>
      <c r="B106" s="96" t="s">
        <v>148</v>
      </c>
      <c r="C106" s="96" t="s">
        <v>149</v>
      </c>
      <c r="D106" s="96">
        <v>116</v>
      </c>
      <c r="E106" s="96">
        <v>759</v>
      </c>
      <c r="F106" s="96">
        <v>347</v>
      </c>
      <c r="G106" s="96">
        <v>1222</v>
      </c>
      <c r="H106" s="96">
        <v>0.62111292959999997</v>
      </c>
      <c r="I106" s="96">
        <v>0.28396072010000001</v>
      </c>
      <c r="J106" s="96">
        <v>9.4926350199999995E-2</v>
      </c>
    </row>
    <row r="107" spans="1:10">
      <c r="A107" s="96">
        <v>2010</v>
      </c>
      <c r="B107" s="96" t="s">
        <v>148</v>
      </c>
      <c r="C107" s="96" t="s">
        <v>150</v>
      </c>
      <c r="D107" s="96">
        <v>0</v>
      </c>
      <c r="E107" s="96">
        <v>1337</v>
      </c>
      <c r="F107" s="96">
        <v>9</v>
      </c>
      <c r="G107" s="96">
        <v>1346</v>
      </c>
      <c r="H107" s="96">
        <v>0.99331352149999996</v>
      </c>
      <c r="I107" s="96">
        <v>6.6864784999999998E-3</v>
      </c>
      <c r="J107" s="96">
        <v>0</v>
      </c>
    </row>
    <row r="108" spans="1:10">
      <c r="A108" s="96">
        <v>2010</v>
      </c>
      <c r="B108" s="96" t="s">
        <v>148</v>
      </c>
      <c r="C108" s="96" t="s">
        <v>151</v>
      </c>
      <c r="D108" s="96">
        <v>25</v>
      </c>
      <c r="E108" s="96">
        <v>1023</v>
      </c>
      <c r="F108" s="96">
        <v>128</v>
      </c>
      <c r="G108" s="96">
        <v>1176</v>
      </c>
      <c r="H108" s="96">
        <v>0.86989795920000001</v>
      </c>
      <c r="I108" s="96">
        <v>0.1088435374</v>
      </c>
      <c r="J108" s="96">
        <v>2.12585034E-2</v>
      </c>
    </row>
    <row r="109" spans="1:10">
      <c r="A109" s="96">
        <v>2010</v>
      </c>
      <c r="B109" s="96" t="s">
        <v>148</v>
      </c>
      <c r="C109" s="96" t="s">
        <v>152</v>
      </c>
      <c r="D109" s="96">
        <v>19</v>
      </c>
      <c r="E109" s="96">
        <v>1044</v>
      </c>
      <c r="F109" s="96">
        <v>317</v>
      </c>
      <c r="G109" s="96">
        <v>1380</v>
      </c>
      <c r="H109" s="96">
        <v>0.75652173909999998</v>
      </c>
      <c r="I109" s="96">
        <v>0.2297101449</v>
      </c>
      <c r="J109" s="96">
        <v>1.3768115900000001E-2</v>
      </c>
    </row>
    <row r="110" spans="1:10">
      <c r="A110" s="96">
        <v>2010</v>
      </c>
      <c r="B110" s="96" t="s">
        <v>148</v>
      </c>
      <c r="C110" s="96" t="s">
        <v>153</v>
      </c>
      <c r="D110" s="96">
        <v>450</v>
      </c>
      <c r="E110" s="96">
        <v>7250</v>
      </c>
      <c r="F110" s="96">
        <v>8420</v>
      </c>
      <c r="G110" s="96">
        <v>16120</v>
      </c>
      <c r="H110" s="96">
        <v>0.44975186099999998</v>
      </c>
      <c r="I110" s="96">
        <v>0.52233250620000005</v>
      </c>
      <c r="J110" s="96">
        <v>2.79156328E-2</v>
      </c>
    </row>
    <row r="111" spans="1:10">
      <c r="A111" s="96">
        <v>2010</v>
      </c>
      <c r="B111" s="96" t="s">
        <v>148</v>
      </c>
      <c r="C111" s="96" t="s">
        <v>154</v>
      </c>
      <c r="D111" s="96">
        <v>18</v>
      </c>
      <c r="E111" s="96">
        <v>383</v>
      </c>
      <c r="F111" s="96">
        <v>370</v>
      </c>
      <c r="G111" s="96">
        <v>771</v>
      </c>
      <c r="H111" s="96">
        <v>0.49675745780000002</v>
      </c>
      <c r="I111" s="96">
        <v>0.47989623869999998</v>
      </c>
      <c r="J111" s="96">
        <v>2.3346303499999999E-2</v>
      </c>
    </row>
    <row r="112" spans="1:10">
      <c r="A112" s="96">
        <v>2010</v>
      </c>
      <c r="B112" s="96" t="s">
        <v>148</v>
      </c>
      <c r="C112" s="96" t="s">
        <v>155</v>
      </c>
      <c r="D112" s="96">
        <v>125</v>
      </c>
      <c r="E112" s="96">
        <v>4544</v>
      </c>
      <c r="F112" s="96">
        <v>426</v>
      </c>
      <c r="G112" s="96">
        <v>5095</v>
      </c>
      <c r="H112" s="96">
        <v>0.89185475960000005</v>
      </c>
      <c r="I112" s="96">
        <v>8.36113837E-2</v>
      </c>
      <c r="J112" s="96">
        <v>2.4533856699999999E-2</v>
      </c>
    </row>
    <row r="113" spans="1:10">
      <c r="A113" s="96">
        <v>2010</v>
      </c>
      <c r="B113" s="96" t="s">
        <v>148</v>
      </c>
      <c r="C113" s="96" t="s">
        <v>156</v>
      </c>
      <c r="D113" s="96">
        <v>18</v>
      </c>
      <c r="E113" s="96">
        <v>888</v>
      </c>
      <c r="F113" s="96">
        <v>864</v>
      </c>
      <c r="G113" s="96">
        <v>1770</v>
      </c>
      <c r="H113" s="96">
        <v>0.50169491529999999</v>
      </c>
      <c r="I113" s="96">
        <v>0.4881355932</v>
      </c>
      <c r="J113" s="96">
        <v>1.0169491500000001E-2</v>
      </c>
    </row>
    <row r="114" spans="1:10">
      <c r="A114" s="96">
        <v>2010</v>
      </c>
      <c r="B114" s="96" t="s">
        <v>148</v>
      </c>
      <c r="C114" s="96" t="s">
        <v>157</v>
      </c>
      <c r="D114" s="96">
        <v>65</v>
      </c>
      <c r="E114" s="96">
        <v>1435</v>
      </c>
      <c r="F114" s="96">
        <v>189</v>
      </c>
      <c r="G114" s="96">
        <v>1689</v>
      </c>
      <c r="H114" s="96">
        <v>0.8496151569</v>
      </c>
      <c r="I114" s="96">
        <v>0.1119005329</v>
      </c>
      <c r="J114" s="96">
        <v>3.8484310200000003E-2</v>
      </c>
    </row>
    <row r="115" spans="1:10">
      <c r="A115" s="96">
        <v>2010</v>
      </c>
      <c r="B115" s="96" t="s">
        <v>148</v>
      </c>
      <c r="C115" s="96" t="s">
        <v>158</v>
      </c>
      <c r="D115" s="96">
        <v>95</v>
      </c>
      <c r="E115" s="96">
        <v>826</v>
      </c>
      <c r="F115" s="96">
        <v>255</v>
      </c>
      <c r="G115" s="96">
        <v>1176</v>
      </c>
      <c r="H115" s="96">
        <v>0.70238095239999998</v>
      </c>
      <c r="I115" s="96">
        <v>0.21683673470000001</v>
      </c>
      <c r="J115" s="96">
        <v>8.07823129E-2</v>
      </c>
    </row>
    <row r="116" spans="1:10">
      <c r="A116" s="96">
        <v>2010</v>
      </c>
      <c r="B116" s="96" t="s">
        <v>148</v>
      </c>
      <c r="C116" s="96" t="s">
        <v>159</v>
      </c>
      <c r="D116" s="96">
        <v>738</v>
      </c>
      <c r="E116" s="96">
        <v>4792</v>
      </c>
      <c r="F116" s="96">
        <v>1640</v>
      </c>
      <c r="G116" s="96">
        <v>7170</v>
      </c>
      <c r="H116" s="96">
        <v>0.66834030680000001</v>
      </c>
      <c r="I116" s="96">
        <v>0.22873082289999999</v>
      </c>
      <c r="J116" s="96">
        <v>0.1029288703</v>
      </c>
    </row>
    <row r="117" spans="1:10">
      <c r="A117" s="96">
        <v>2010</v>
      </c>
      <c r="B117" s="96" t="s">
        <v>148</v>
      </c>
      <c r="C117" s="96" t="s">
        <v>160</v>
      </c>
      <c r="D117" s="96">
        <v>11</v>
      </c>
      <c r="E117" s="96">
        <v>2574</v>
      </c>
      <c r="F117" s="96">
        <v>383</v>
      </c>
      <c r="G117" s="96">
        <v>2968</v>
      </c>
      <c r="H117" s="96">
        <v>0.86725067389999999</v>
      </c>
      <c r="I117" s="96">
        <v>0.12904312670000001</v>
      </c>
      <c r="J117" s="96">
        <v>3.7061995E-3</v>
      </c>
    </row>
    <row r="118" spans="1:10">
      <c r="A118" s="96">
        <v>2010</v>
      </c>
      <c r="B118" s="96" t="s">
        <v>148</v>
      </c>
      <c r="C118" s="96" t="s">
        <v>161</v>
      </c>
      <c r="D118" s="96">
        <v>243</v>
      </c>
      <c r="E118" s="96">
        <v>3212</v>
      </c>
      <c r="F118" s="96">
        <v>184</v>
      </c>
      <c r="G118" s="96">
        <v>3639</v>
      </c>
      <c r="H118" s="96">
        <v>0.88266007140000002</v>
      </c>
      <c r="I118" s="96">
        <v>5.0563341599999999E-2</v>
      </c>
      <c r="J118" s="96">
        <v>6.6776586999999998E-2</v>
      </c>
    </row>
    <row r="119" spans="1:10">
      <c r="A119" s="96">
        <v>2010</v>
      </c>
      <c r="B119" s="96" t="s">
        <v>148</v>
      </c>
      <c r="C119" s="96" t="s">
        <v>162</v>
      </c>
      <c r="D119" s="96">
        <v>129</v>
      </c>
      <c r="E119" s="96">
        <v>1274</v>
      </c>
      <c r="F119" s="96">
        <v>387</v>
      </c>
      <c r="G119" s="96">
        <v>1790</v>
      </c>
      <c r="H119" s="96">
        <v>0.71173184359999997</v>
      </c>
      <c r="I119" s="96">
        <v>0.2162011173</v>
      </c>
      <c r="J119" s="96">
        <v>7.2067039099999994E-2</v>
      </c>
    </row>
    <row r="120" spans="1:10">
      <c r="A120" s="96">
        <v>2010</v>
      </c>
      <c r="B120" s="96" t="s">
        <v>148</v>
      </c>
      <c r="C120" s="96" t="s">
        <v>163</v>
      </c>
      <c r="D120" s="96">
        <v>641</v>
      </c>
      <c r="E120" s="96">
        <v>2485</v>
      </c>
      <c r="F120" s="96">
        <v>7894</v>
      </c>
      <c r="G120" s="96">
        <v>11020</v>
      </c>
      <c r="H120" s="96">
        <v>0.22549909260000001</v>
      </c>
      <c r="I120" s="96">
        <v>0.71633393830000003</v>
      </c>
      <c r="J120" s="96">
        <v>5.81669691E-2</v>
      </c>
    </row>
    <row r="121" spans="1:10">
      <c r="A121" s="96">
        <v>2010</v>
      </c>
      <c r="B121" s="96" t="s">
        <v>148</v>
      </c>
      <c r="C121" s="96" t="s">
        <v>164</v>
      </c>
      <c r="D121" s="96">
        <v>8</v>
      </c>
      <c r="E121" s="96">
        <v>1369</v>
      </c>
      <c r="F121" s="96">
        <v>730</v>
      </c>
      <c r="G121" s="96">
        <v>2107</v>
      </c>
      <c r="H121" s="96">
        <v>0.64973896539999998</v>
      </c>
      <c r="I121" s="96">
        <v>0.3464641671</v>
      </c>
      <c r="J121" s="96">
        <v>3.7968676E-3</v>
      </c>
    </row>
    <row r="122" spans="1:10">
      <c r="A122" s="96">
        <v>2010</v>
      </c>
      <c r="B122" s="96" t="s">
        <v>148</v>
      </c>
      <c r="C122" s="96" t="s">
        <v>165</v>
      </c>
      <c r="D122" s="96">
        <v>827</v>
      </c>
      <c r="E122" s="96">
        <v>6464</v>
      </c>
      <c r="F122" s="96">
        <v>5113</v>
      </c>
      <c r="G122" s="96">
        <v>12404</v>
      </c>
      <c r="H122" s="96">
        <v>0.52112221859999996</v>
      </c>
      <c r="I122" s="96">
        <v>0.4122057401</v>
      </c>
      <c r="J122" s="96">
        <v>6.6672041299999998E-2</v>
      </c>
    </row>
    <row r="123" spans="1:10">
      <c r="A123" s="96">
        <v>2010</v>
      </c>
      <c r="B123" s="96" t="s">
        <v>148</v>
      </c>
      <c r="C123" s="96" t="s">
        <v>166</v>
      </c>
      <c r="D123" s="96">
        <v>25</v>
      </c>
      <c r="E123" s="96">
        <v>2465</v>
      </c>
      <c r="F123" s="96">
        <v>420</v>
      </c>
      <c r="G123" s="96">
        <v>2910</v>
      </c>
      <c r="H123" s="96">
        <v>0.84707903780000005</v>
      </c>
      <c r="I123" s="96">
        <v>0.1443298969</v>
      </c>
      <c r="J123" s="96">
        <v>8.5910653000000007E-3</v>
      </c>
    </row>
    <row r="124" spans="1:10">
      <c r="A124" s="96">
        <v>2010</v>
      </c>
      <c r="B124" s="96" t="s">
        <v>148</v>
      </c>
      <c r="C124" s="96" t="s">
        <v>167</v>
      </c>
      <c r="D124" s="96">
        <v>3</v>
      </c>
      <c r="E124" s="96">
        <v>462</v>
      </c>
      <c r="F124" s="96">
        <v>374</v>
      </c>
      <c r="G124" s="96">
        <v>839</v>
      </c>
      <c r="H124" s="96">
        <v>0.55065554230000002</v>
      </c>
      <c r="I124" s="96">
        <v>0.4457687723</v>
      </c>
      <c r="J124" s="96">
        <v>3.5756853E-3</v>
      </c>
    </row>
    <row r="125" spans="1:10">
      <c r="A125" s="96">
        <v>2010</v>
      </c>
      <c r="B125" s="96" t="s">
        <v>148</v>
      </c>
      <c r="C125" s="96" t="s">
        <v>168</v>
      </c>
      <c r="D125" s="96">
        <v>586</v>
      </c>
      <c r="E125" s="96">
        <v>1294</v>
      </c>
      <c r="F125" s="96">
        <v>5258</v>
      </c>
      <c r="G125" s="96">
        <v>7138</v>
      </c>
      <c r="H125" s="96">
        <v>0.18128327259999999</v>
      </c>
      <c r="I125" s="96">
        <v>0.73662090219999998</v>
      </c>
      <c r="J125" s="96">
        <v>8.20958252E-2</v>
      </c>
    </row>
    <row r="126" spans="1:10">
      <c r="A126" s="96">
        <v>2010</v>
      </c>
      <c r="B126" s="96" t="s">
        <v>148</v>
      </c>
      <c r="C126" s="96" t="s">
        <v>169</v>
      </c>
      <c r="D126" s="96">
        <v>107</v>
      </c>
      <c r="E126" s="96">
        <v>2701</v>
      </c>
      <c r="F126" s="96">
        <v>939</v>
      </c>
      <c r="G126" s="96">
        <v>3747</v>
      </c>
      <c r="H126" s="96">
        <v>0.72084334130000005</v>
      </c>
      <c r="I126" s="96">
        <v>0.25060048039999999</v>
      </c>
      <c r="J126" s="96">
        <v>2.8556178299999999E-2</v>
      </c>
    </row>
    <row r="127" spans="1:10">
      <c r="A127" s="96">
        <v>2010</v>
      </c>
      <c r="B127" s="96" t="s">
        <v>148</v>
      </c>
      <c r="C127" s="96" t="s">
        <v>170</v>
      </c>
      <c r="D127" s="96">
        <v>165</v>
      </c>
      <c r="E127" s="96">
        <v>747</v>
      </c>
      <c r="F127" s="96">
        <v>227</v>
      </c>
      <c r="G127" s="96">
        <v>1139</v>
      </c>
      <c r="H127" s="96">
        <v>0.65583845480000003</v>
      </c>
      <c r="I127" s="96">
        <v>0.19929762949999999</v>
      </c>
      <c r="J127" s="96">
        <v>0.14486391570000001</v>
      </c>
    </row>
    <row r="128" spans="1:10">
      <c r="A128" s="96">
        <v>2010</v>
      </c>
      <c r="B128" s="96" t="s">
        <v>148</v>
      </c>
      <c r="C128" s="96" t="s">
        <v>171</v>
      </c>
      <c r="D128" s="96">
        <v>28</v>
      </c>
      <c r="E128" s="96">
        <v>671</v>
      </c>
      <c r="F128" s="96">
        <v>361</v>
      </c>
      <c r="G128" s="96">
        <v>1060</v>
      </c>
      <c r="H128" s="96">
        <v>0.63301886789999995</v>
      </c>
      <c r="I128" s="96">
        <v>0.34056603769999999</v>
      </c>
      <c r="J128" s="96">
        <v>2.6415094300000001E-2</v>
      </c>
    </row>
    <row r="129" spans="1:10">
      <c r="A129" s="96">
        <v>2010</v>
      </c>
      <c r="B129" s="96" t="s">
        <v>148</v>
      </c>
      <c r="C129" s="96" t="s">
        <v>172</v>
      </c>
      <c r="D129" s="96">
        <v>9</v>
      </c>
      <c r="E129" s="96">
        <v>798</v>
      </c>
      <c r="F129" s="96">
        <v>303</v>
      </c>
      <c r="G129" s="96">
        <v>1110</v>
      </c>
      <c r="H129" s="96">
        <v>0.71891891890000004</v>
      </c>
      <c r="I129" s="96">
        <v>0.27297297300000001</v>
      </c>
      <c r="J129" s="96">
        <v>8.1081081000000006E-3</v>
      </c>
    </row>
    <row r="130" spans="1:10">
      <c r="A130" s="96">
        <v>2006</v>
      </c>
      <c r="B130" s="96" t="s">
        <v>145</v>
      </c>
      <c r="C130" s="96" t="s">
        <v>135</v>
      </c>
      <c r="D130" s="96">
        <v>33</v>
      </c>
      <c r="E130" s="96">
        <v>218</v>
      </c>
      <c r="F130" s="96">
        <v>315</v>
      </c>
      <c r="G130" s="96">
        <v>566</v>
      </c>
      <c r="H130" s="96">
        <v>0.38515901060000002</v>
      </c>
      <c r="I130" s="96">
        <v>0.55653710249999999</v>
      </c>
      <c r="J130" s="96">
        <v>5.8303886899999997E-2</v>
      </c>
    </row>
    <row r="131" spans="1:10">
      <c r="A131" s="96">
        <v>2006</v>
      </c>
      <c r="B131" s="96" t="s">
        <v>148</v>
      </c>
      <c r="C131" s="96" t="s">
        <v>135</v>
      </c>
      <c r="D131" s="96">
        <v>3260</v>
      </c>
      <c r="E131" s="96">
        <v>45447</v>
      </c>
      <c r="F131" s="96">
        <v>33651</v>
      </c>
      <c r="G131" s="96">
        <v>82358</v>
      </c>
      <c r="H131" s="96">
        <v>0.5518225309</v>
      </c>
      <c r="I131" s="96">
        <v>0.4085941864</v>
      </c>
      <c r="J131" s="96">
        <v>3.95832827E-2</v>
      </c>
    </row>
    <row r="132" spans="1:10">
      <c r="A132" s="96">
        <v>2007</v>
      </c>
      <c r="B132" s="96" t="s">
        <v>145</v>
      </c>
      <c r="C132" s="96" t="s">
        <v>135</v>
      </c>
      <c r="D132" s="96">
        <v>137</v>
      </c>
      <c r="E132" s="96">
        <v>933</v>
      </c>
      <c r="F132" s="96">
        <v>390</v>
      </c>
      <c r="G132" s="96">
        <v>1460</v>
      </c>
      <c r="H132" s="96">
        <v>0.63904109590000002</v>
      </c>
      <c r="I132" s="96">
        <v>0.26712328769999999</v>
      </c>
      <c r="J132" s="96">
        <v>9.3835616400000002E-2</v>
      </c>
    </row>
    <row r="133" spans="1:10">
      <c r="A133" s="96">
        <v>2007</v>
      </c>
      <c r="B133" s="96" t="s">
        <v>148</v>
      </c>
      <c r="C133" s="96" t="s">
        <v>135</v>
      </c>
      <c r="D133" s="96">
        <v>4017</v>
      </c>
      <c r="E133" s="96">
        <v>45752</v>
      </c>
      <c r="F133" s="96">
        <v>34622</v>
      </c>
      <c r="G133" s="96">
        <v>84391</v>
      </c>
      <c r="H133" s="96">
        <v>0.54214311950000005</v>
      </c>
      <c r="I133" s="96">
        <v>0.41025701790000002</v>
      </c>
      <c r="J133" s="96">
        <v>4.7599862499999999E-2</v>
      </c>
    </row>
    <row r="134" spans="1:10">
      <c r="A134" s="96">
        <v>2008</v>
      </c>
      <c r="B134" s="96" t="s">
        <v>145</v>
      </c>
      <c r="C134" s="96" t="s">
        <v>135</v>
      </c>
      <c r="D134" s="96">
        <v>31</v>
      </c>
      <c r="E134" s="96">
        <v>74</v>
      </c>
      <c r="F134" s="96">
        <v>226</v>
      </c>
      <c r="G134" s="96">
        <v>331</v>
      </c>
      <c r="H134" s="96">
        <v>0.22356495470000001</v>
      </c>
      <c r="I134" s="96">
        <v>0.68277945620000002</v>
      </c>
      <c r="J134" s="96">
        <v>9.3655589100000006E-2</v>
      </c>
    </row>
    <row r="135" spans="1:10">
      <c r="A135" s="96">
        <v>2008</v>
      </c>
      <c r="B135" s="96" t="s">
        <v>148</v>
      </c>
      <c r="C135" s="96" t="s">
        <v>135</v>
      </c>
      <c r="D135" s="96">
        <v>6513</v>
      </c>
      <c r="E135" s="96">
        <v>47119</v>
      </c>
      <c r="F135" s="96">
        <v>33806</v>
      </c>
      <c r="G135" s="96">
        <v>87438</v>
      </c>
      <c r="H135" s="96">
        <v>0.53888469539999995</v>
      </c>
      <c r="I135" s="96">
        <v>0.38662823940000002</v>
      </c>
      <c r="J135" s="96">
        <v>7.4487065099999999E-2</v>
      </c>
    </row>
    <row r="136" spans="1:10">
      <c r="A136" s="96">
        <v>2009</v>
      </c>
      <c r="B136" s="96" t="s">
        <v>145</v>
      </c>
      <c r="C136" s="96" t="s">
        <v>135</v>
      </c>
      <c r="D136" s="96">
        <v>41</v>
      </c>
      <c r="E136" s="96">
        <v>63</v>
      </c>
      <c r="F136" s="96">
        <v>205</v>
      </c>
      <c r="G136" s="96">
        <v>309</v>
      </c>
      <c r="H136" s="96">
        <v>0.20388349510000001</v>
      </c>
      <c r="I136" s="96">
        <v>0.66343042070000002</v>
      </c>
      <c r="J136" s="96">
        <v>0.13268608409999999</v>
      </c>
    </row>
    <row r="137" spans="1:10">
      <c r="A137" s="96">
        <v>2009</v>
      </c>
      <c r="B137" s="96" t="s">
        <v>148</v>
      </c>
      <c r="C137" s="96" t="s">
        <v>135</v>
      </c>
      <c r="D137" s="96">
        <v>5462</v>
      </c>
      <c r="E137" s="96">
        <v>46220</v>
      </c>
      <c r="F137" s="96">
        <v>32972</v>
      </c>
      <c r="G137" s="96">
        <v>84654</v>
      </c>
      <c r="H137" s="96">
        <v>0.54598719490000003</v>
      </c>
      <c r="I137" s="96">
        <v>0.38949134120000001</v>
      </c>
      <c r="J137" s="96">
        <v>6.4521463799999998E-2</v>
      </c>
    </row>
    <row r="138" spans="1:10">
      <c r="A138" s="96">
        <v>2010</v>
      </c>
      <c r="B138" s="96" t="s">
        <v>145</v>
      </c>
      <c r="C138" s="96" t="s">
        <v>135</v>
      </c>
      <c r="D138" s="96">
        <v>67</v>
      </c>
      <c r="E138" s="96">
        <v>869</v>
      </c>
      <c r="F138" s="96">
        <v>276</v>
      </c>
      <c r="G138" s="96">
        <v>1212</v>
      </c>
      <c r="H138" s="96">
        <v>0.71699669970000002</v>
      </c>
      <c r="I138" s="96">
        <v>0.22772277229999999</v>
      </c>
      <c r="J138" s="96">
        <v>5.5280528099999997E-2</v>
      </c>
    </row>
    <row r="139" spans="1:10">
      <c r="A139" s="96">
        <v>2010</v>
      </c>
      <c r="B139" s="96" t="s">
        <v>148</v>
      </c>
      <c r="C139" s="96" t="s">
        <v>135</v>
      </c>
      <c r="D139" s="96">
        <v>4451</v>
      </c>
      <c r="E139" s="96">
        <v>50797</v>
      </c>
      <c r="F139" s="96">
        <v>35538</v>
      </c>
      <c r="G139" s="96">
        <v>90786</v>
      </c>
      <c r="H139" s="96">
        <v>0.55952459629999995</v>
      </c>
      <c r="I139" s="96">
        <v>0.3914480206</v>
      </c>
      <c r="J139" s="96">
        <v>4.9027383100000002E-2</v>
      </c>
    </row>
    <row r="140" spans="1:10">
      <c r="A140" s="96">
        <v>2006</v>
      </c>
      <c r="B140" s="96" t="s">
        <v>137</v>
      </c>
      <c r="C140" s="96" t="s">
        <v>136</v>
      </c>
      <c r="D140" s="96">
        <v>3293</v>
      </c>
      <c r="E140" s="96">
        <v>45665</v>
      </c>
      <c r="F140" s="96">
        <v>33966</v>
      </c>
      <c r="G140" s="96">
        <v>82924</v>
      </c>
      <c r="H140" s="96">
        <v>0.55068496450000004</v>
      </c>
      <c r="I140" s="96">
        <v>0.40960397469999998</v>
      </c>
      <c r="J140" s="96">
        <v>3.9711060700000002E-2</v>
      </c>
    </row>
    <row r="141" spans="1:10">
      <c r="A141" s="96">
        <v>2007</v>
      </c>
      <c r="B141" s="96" t="s">
        <v>137</v>
      </c>
      <c r="C141" s="96" t="s">
        <v>136</v>
      </c>
      <c r="D141" s="96">
        <v>4154</v>
      </c>
      <c r="E141" s="96">
        <v>46685</v>
      </c>
      <c r="F141" s="96">
        <v>35012</v>
      </c>
      <c r="G141" s="96">
        <v>85851</v>
      </c>
      <c r="H141" s="96">
        <v>0.54379098670000003</v>
      </c>
      <c r="I141" s="96">
        <v>0.4078228559</v>
      </c>
      <c r="J141" s="96">
        <v>4.8386157399999997E-2</v>
      </c>
    </row>
    <row r="142" spans="1:10">
      <c r="A142" s="96">
        <v>2008</v>
      </c>
      <c r="B142" s="96" t="s">
        <v>137</v>
      </c>
      <c r="C142" s="96" t="s">
        <v>136</v>
      </c>
      <c r="D142" s="96">
        <v>6544</v>
      </c>
      <c r="E142" s="96">
        <v>47193</v>
      </c>
      <c r="F142" s="96">
        <v>34032</v>
      </c>
      <c r="G142" s="96">
        <v>87769</v>
      </c>
      <c r="H142" s="96">
        <v>0.5376955417</v>
      </c>
      <c r="I142" s="96">
        <v>0.38774510359999997</v>
      </c>
      <c r="J142" s="96">
        <v>7.4559354699999997E-2</v>
      </c>
    </row>
    <row r="143" spans="1:10">
      <c r="A143" s="96">
        <v>2009</v>
      </c>
      <c r="B143" s="96" t="s">
        <v>137</v>
      </c>
      <c r="C143" s="96" t="s">
        <v>136</v>
      </c>
      <c r="D143" s="96">
        <v>5503</v>
      </c>
      <c r="E143" s="96">
        <v>46283</v>
      </c>
      <c r="F143" s="96">
        <v>33177</v>
      </c>
      <c r="G143" s="96">
        <v>84963</v>
      </c>
      <c r="H143" s="96">
        <v>0.54474300580000001</v>
      </c>
      <c r="I143" s="96">
        <v>0.39048762399999998</v>
      </c>
      <c r="J143" s="96">
        <v>6.4769370199999995E-2</v>
      </c>
    </row>
    <row r="144" spans="1:10">
      <c r="A144" s="96">
        <v>2010</v>
      </c>
      <c r="B144" s="96" t="s">
        <v>137</v>
      </c>
      <c r="C144" s="96" t="s">
        <v>136</v>
      </c>
      <c r="D144" s="96">
        <v>4518</v>
      </c>
      <c r="E144" s="96">
        <v>51666</v>
      </c>
      <c r="F144" s="96">
        <v>35814</v>
      </c>
      <c r="G144" s="96">
        <v>91998</v>
      </c>
      <c r="H144" s="96">
        <v>0.56159916519999997</v>
      </c>
      <c r="I144" s="96">
        <v>0.38929107149999997</v>
      </c>
      <c r="J144" s="96">
        <v>4.9109763299999998E-2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79 - Trend in Out of Stat</vt:lpstr>
      <vt:lpstr>79Pivot</vt:lpstr>
      <vt:lpstr>79data</vt:lpstr>
      <vt:lpstr>80pivot</vt:lpstr>
      <vt:lpstr>80data</vt:lpstr>
      <vt:lpstr>'Table 79 - Trend in Out of Stat'!Print_Area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cp:lastModifiedBy>echamber</cp:lastModifiedBy>
  <cp:lastPrinted>2010-03-10T22:12:52Z</cp:lastPrinted>
  <dcterms:created xsi:type="dcterms:W3CDTF">2003-06-19T21:34:23Z</dcterms:created>
  <dcterms:modified xsi:type="dcterms:W3CDTF">2011-08-23T20:26:23Z</dcterms:modified>
</cp:coreProperties>
</file>