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30" yWindow="-75" windowWidth="7590" windowHeight="9090"/>
  </bookViews>
  <sheets>
    <sheet name="Table 45 - On campus HCT of 1x " sheetId="1" r:id="rId1"/>
  </sheets>
  <definedNames>
    <definedName name="_xlnm.Print_Area" localSheetId="0">'Table 45 - On campus HCT of 1x '!$A$1:$AC$112</definedName>
  </definedNames>
  <calcPr calcId="125725" calcMode="autoNoTable" iterate="1" iterateCount="1" iterateDelta="0"/>
</workbook>
</file>

<file path=xl/calcChain.xml><?xml version="1.0" encoding="utf-8"?>
<calcChain xmlns="http://schemas.openxmlformats.org/spreadsheetml/2006/main">
  <c r="AC104" i="1"/>
  <c r="AC94"/>
  <c r="AC50"/>
  <c r="AC24"/>
  <c r="AB24"/>
  <c r="AB50"/>
  <c r="AB52" s="1"/>
  <c r="AB108" s="1"/>
  <c r="AB94"/>
  <c r="AB104"/>
  <c r="AB106"/>
  <c r="AA24"/>
  <c r="AA50"/>
  <c r="AA52"/>
  <c r="AA94"/>
  <c r="AA104"/>
  <c r="AA106" s="1"/>
  <c r="AA108" s="1"/>
  <c r="Z15"/>
  <c r="Z22"/>
  <c r="Z21"/>
  <c r="Z23"/>
  <c r="Z39"/>
  <c r="Z89"/>
  <c r="Z82"/>
  <c r="Z48"/>
  <c r="Z16"/>
  <c r="Z17"/>
  <c r="Z75"/>
  <c r="Z12"/>
  <c r="Z11"/>
  <c r="Z90"/>
  <c r="Z78"/>
  <c r="Z14"/>
  <c r="Z80"/>
  <c r="Z33"/>
  <c r="Z34"/>
  <c r="Z36"/>
  <c r="Z35"/>
  <c r="Z32"/>
  <c r="Z103"/>
  <c r="Z44"/>
  <c r="Z45"/>
  <c r="Z46"/>
  <c r="Z29"/>
  <c r="Z28"/>
  <c r="Z50" s="1"/>
  <c r="Z52" s="1"/>
  <c r="Z73"/>
  <c r="Z40"/>
  <c r="Z13"/>
  <c r="Z19"/>
  <c r="Z43"/>
  <c r="Z18"/>
  <c r="Z49"/>
  <c r="Z20"/>
  <c r="Z30"/>
  <c r="Z38"/>
  <c r="Z41"/>
  <c r="Z42"/>
  <c r="Z77"/>
  <c r="Z83"/>
  <c r="Z104"/>
  <c r="Z94"/>
  <c r="Z106" s="1"/>
  <c r="Z24"/>
  <c r="Y15"/>
  <c r="Y73"/>
  <c r="Y89"/>
  <c r="Y31"/>
  <c r="Y41"/>
  <c r="Y49"/>
  <c r="Y48"/>
  <c r="Y46"/>
  <c r="Y45"/>
  <c r="Y44"/>
  <c r="Y43"/>
  <c r="Y36"/>
  <c r="Y35"/>
  <c r="Y34"/>
  <c r="Y32"/>
  <c r="Y33"/>
  <c r="Y39"/>
  <c r="Y38"/>
  <c r="Y42"/>
  <c r="Y30"/>
  <c r="Y29"/>
  <c r="Y50" s="1"/>
  <c r="Y52" s="1"/>
  <c r="Y28"/>
  <c r="Y40"/>
  <c r="Y14"/>
  <c r="Y18"/>
  <c r="Y17"/>
  <c r="Y19"/>
  <c r="Y16"/>
  <c r="Y13"/>
  <c r="Y12"/>
  <c r="Y11"/>
  <c r="Y20"/>
  <c r="Y23"/>
  <c r="Y22"/>
  <c r="Y21"/>
  <c r="Y104"/>
  <c r="Y94"/>
  <c r="Y106" s="1"/>
  <c r="Y24"/>
  <c r="X31"/>
  <c r="X44"/>
  <c r="X45"/>
  <c r="X46"/>
  <c r="X40"/>
  <c r="X39"/>
  <c r="X48"/>
  <c r="X12"/>
  <c r="X30"/>
  <c r="X28"/>
  <c r="X16"/>
  <c r="X11"/>
  <c r="X29"/>
  <c r="X50" s="1"/>
  <c r="X52" s="1"/>
  <c r="X38"/>
  <c r="X32"/>
  <c r="X33"/>
  <c r="X34"/>
  <c r="X35"/>
  <c r="X41"/>
  <c r="X17"/>
  <c r="X42"/>
  <c r="X49"/>
  <c r="X14"/>
  <c r="X43"/>
  <c r="X19"/>
  <c r="X36"/>
  <c r="X80"/>
  <c r="X89"/>
  <c r="X23"/>
  <c r="X15"/>
  <c r="X22"/>
  <c r="X21"/>
  <c r="X81"/>
  <c r="X86"/>
  <c r="X75"/>
  <c r="X90"/>
  <c r="X85"/>
  <c r="X73"/>
  <c r="X93"/>
  <c r="X18"/>
  <c r="X13"/>
  <c r="X20"/>
  <c r="X77"/>
  <c r="X104"/>
  <c r="X94"/>
  <c r="X106" s="1"/>
  <c r="X24"/>
  <c r="W23"/>
  <c r="W15"/>
  <c r="W22"/>
  <c r="W21"/>
  <c r="W44"/>
  <c r="W45"/>
  <c r="W46"/>
  <c r="W19"/>
  <c r="W39"/>
  <c r="W13"/>
  <c r="W80"/>
  <c r="W103"/>
  <c r="W43"/>
  <c r="W31"/>
  <c r="W42"/>
  <c r="W18"/>
  <c r="W48"/>
  <c r="W11"/>
  <c r="W29"/>
  <c r="W16"/>
  <c r="W90"/>
  <c r="W49"/>
  <c r="W69"/>
  <c r="W94" s="1"/>
  <c r="W106" s="1"/>
  <c r="W28"/>
  <c r="W17"/>
  <c r="W14"/>
  <c r="W34"/>
  <c r="W32"/>
  <c r="W35"/>
  <c r="W36"/>
  <c r="W33"/>
  <c r="W20"/>
  <c r="W12"/>
  <c r="W24" s="1"/>
  <c r="W52" s="1"/>
  <c r="W108" s="1"/>
  <c r="W30"/>
  <c r="W38"/>
  <c r="W41"/>
  <c r="W40"/>
  <c r="W75"/>
  <c r="W86"/>
  <c r="W85"/>
  <c r="W77"/>
  <c r="W104"/>
  <c r="W50"/>
  <c r="L20"/>
  <c r="M20"/>
  <c r="O20"/>
  <c r="P20"/>
  <c r="Q20"/>
  <c r="R20"/>
  <c r="S20"/>
  <c r="T20"/>
  <c r="U20"/>
  <c r="V20"/>
  <c r="L11"/>
  <c r="L24" s="1"/>
  <c r="L52" s="1"/>
  <c r="M11"/>
  <c r="O11"/>
  <c r="P11"/>
  <c r="Q11"/>
  <c r="R11"/>
  <c r="S11"/>
  <c r="T11"/>
  <c r="U11"/>
  <c r="V11"/>
  <c r="L12"/>
  <c r="M12"/>
  <c r="O12"/>
  <c r="P12"/>
  <c r="Q12"/>
  <c r="R12"/>
  <c r="U12"/>
  <c r="V12"/>
  <c r="L13"/>
  <c r="M13"/>
  <c r="O13"/>
  <c r="P13"/>
  <c r="Q13"/>
  <c r="R13"/>
  <c r="S13"/>
  <c r="T13"/>
  <c r="U13"/>
  <c r="V13"/>
  <c r="L16"/>
  <c r="M16"/>
  <c r="O16"/>
  <c r="P16"/>
  <c r="Q16"/>
  <c r="R16"/>
  <c r="S16"/>
  <c r="T16"/>
  <c r="U16"/>
  <c r="V16"/>
  <c r="L17"/>
  <c r="M17"/>
  <c r="O17"/>
  <c r="P17"/>
  <c r="Q17"/>
  <c r="R17"/>
  <c r="S17"/>
  <c r="T17"/>
  <c r="U17"/>
  <c r="V17"/>
  <c r="L18"/>
  <c r="M18"/>
  <c r="O18"/>
  <c r="P18"/>
  <c r="Q18"/>
  <c r="R18"/>
  <c r="S18"/>
  <c r="T18"/>
  <c r="U18"/>
  <c r="V18"/>
  <c r="L14"/>
  <c r="M14"/>
  <c r="O14"/>
  <c r="P14"/>
  <c r="Q14"/>
  <c r="R14"/>
  <c r="S14"/>
  <c r="T14"/>
  <c r="U14"/>
  <c r="V14"/>
  <c r="L19"/>
  <c r="M19"/>
  <c r="O19"/>
  <c r="P19"/>
  <c r="Q19"/>
  <c r="R19"/>
  <c r="S19"/>
  <c r="T19"/>
  <c r="U19"/>
  <c r="V19"/>
  <c r="L21"/>
  <c r="M21"/>
  <c r="O21"/>
  <c r="P21"/>
  <c r="Q21"/>
  <c r="R21"/>
  <c r="S21"/>
  <c r="T21"/>
  <c r="U21"/>
  <c r="V21"/>
  <c r="L22"/>
  <c r="M22"/>
  <c r="O22"/>
  <c r="P22"/>
  <c r="Q22"/>
  <c r="R22"/>
  <c r="S22"/>
  <c r="T22"/>
  <c r="U22"/>
  <c r="L15"/>
  <c r="M15"/>
  <c r="O15"/>
  <c r="P15"/>
  <c r="P24" s="1"/>
  <c r="P52" s="1"/>
  <c r="Q15"/>
  <c r="R15"/>
  <c r="R24" s="1"/>
  <c r="R52" s="1"/>
  <c r="S15"/>
  <c r="T15"/>
  <c r="T24" s="1"/>
  <c r="T52" s="1"/>
  <c r="U15"/>
  <c r="V15"/>
  <c r="V24" s="1"/>
  <c r="V52" s="1"/>
  <c r="L23"/>
  <c r="M23"/>
  <c r="O23"/>
  <c r="P23"/>
  <c r="Q23"/>
  <c r="R23"/>
  <c r="S23"/>
  <c r="T23"/>
  <c r="U23"/>
  <c r="V23"/>
  <c r="B24"/>
  <c r="C24"/>
  <c r="D24"/>
  <c r="E24"/>
  <c r="F24"/>
  <c r="G24"/>
  <c r="H24"/>
  <c r="I24"/>
  <c r="J24"/>
  <c r="K24"/>
  <c r="M24"/>
  <c r="N24"/>
  <c r="O24"/>
  <c r="Q24"/>
  <c r="S24"/>
  <c r="U24"/>
  <c r="L28"/>
  <c r="M28"/>
  <c r="N28"/>
  <c r="O28"/>
  <c r="P28"/>
  <c r="Q28"/>
  <c r="R28"/>
  <c r="S28"/>
  <c r="T28"/>
  <c r="U28"/>
  <c r="V28"/>
  <c r="L29"/>
  <c r="M29"/>
  <c r="M50" s="1"/>
  <c r="M52" s="1"/>
  <c r="M108" s="1"/>
  <c r="N29"/>
  <c r="O29"/>
  <c r="O50" s="1"/>
  <c r="O52" s="1"/>
  <c r="P29"/>
  <c r="Q29"/>
  <c r="Q50" s="1"/>
  <c r="Q52" s="1"/>
  <c r="Q108" s="1"/>
  <c r="R29"/>
  <c r="S29"/>
  <c r="S50" s="1"/>
  <c r="S52" s="1"/>
  <c r="S108" s="1"/>
  <c r="T29"/>
  <c r="U29"/>
  <c r="U50" s="1"/>
  <c r="U52" s="1"/>
  <c r="U108" s="1"/>
  <c r="L30"/>
  <c r="M30"/>
  <c r="N30"/>
  <c r="O30"/>
  <c r="P30"/>
  <c r="Q30"/>
  <c r="R30"/>
  <c r="S30"/>
  <c r="T30"/>
  <c r="U30"/>
  <c r="Q31"/>
  <c r="R31"/>
  <c r="S31"/>
  <c r="T31"/>
  <c r="U31"/>
  <c r="V31"/>
  <c r="U32"/>
  <c r="V32"/>
  <c r="L34"/>
  <c r="M34"/>
  <c r="N34"/>
  <c r="O34"/>
  <c r="P34"/>
  <c r="Q34"/>
  <c r="R34"/>
  <c r="S34"/>
  <c r="T34"/>
  <c r="U34"/>
  <c r="V34"/>
  <c r="L35"/>
  <c r="M35"/>
  <c r="O35"/>
  <c r="P35"/>
  <c r="Q35"/>
  <c r="R35"/>
  <c r="S35"/>
  <c r="T35"/>
  <c r="U35"/>
  <c r="V35"/>
  <c r="L36"/>
  <c r="M36"/>
  <c r="N36"/>
  <c r="O36"/>
  <c r="P36"/>
  <c r="Q36"/>
  <c r="R36"/>
  <c r="S36"/>
  <c r="T36"/>
  <c r="U36"/>
  <c r="V36"/>
  <c r="L38"/>
  <c r="M38"/>
  <c r="N38"/>
  <c r="O38"/>
  <c r="P38"/>
  <c r="Q38"/>
  <c r="R38"/>
  <c r="S38"/>
  <c r="T38"/>
  <c r="U38"/>
  <c r="V38"/>
  <c r="L39"/>
  <c r="M39"/>
  <c r="N39"/>
  <c r="O39"/>
  <c r="P39"/>
  <c r="Q39"/>
  <c r="R39"/>
  <c r="S39"/>
  <c r="T39"/>
  <c r="U39"/>
  <c r="V39"/>
  <c r="L41"/>
  <c r="M41"/>
  <c r="N41"/>
  <c r="O41"/>
  <c r="P41"/>
  <c r="Q41"/>
  <c r="R41"/>
  <c r="S41"/>
  <c r="T41"/>
  <c r="U41"/>
  <c r="V41"/>
  <c r="L42"/>
  <c r="M42"/>
  <c r="N42"/>
  <c r="O42"/>
  <c r="P42"/>
  <c r="Q42"/>
  <c r="R42"/>
  <c r="S42"/>
  <c r="T42"/>
  <c r="U42"/>
  <c r="V42"/>
  <c r="L48"/>
  <c r="M48"/>
  <c r="N48"/>
  <c r="P48"/>
  <c r="Q48"/>
  <c r="R48"/>
  <c r="S48"/>
  <c r="T48"/>
  <c r="U48"/>
  <c r="V48"/>
  <c r="L43"/>
  <c r="M43"/>
  <c r="N43"/>
  <c r="O43"/>
  <c r="P43"/>
  <c r="Q43"/>
  <c r="R43"/>
  <c r="S43"/>
  <c r="T43"/>
  <c r="U43"/>
  <c r="V43"/>
  <c r="L44"/>
  <c r="M44"/>
  <c r="N44"/>
  <c r="O44"/>
  <c r="P44"/>
  <c r="Q44"/>
  <c r="R44"/>
  <c r="S44"/>
  <c r="T44"/>
  <c r="U44"/>
  <c r="V44"/>
  <c r="L45"/>
  <c r="M45"/>
  <c r="N45"/>
  <c r="O45"/>
  <c r="P45"/>
  <c r="Q45"/>
  <c r="R45"/>
  <c r="S45"/>
  <c r="T45"/>
  <c r="U45"/>
  <c r="V45"/>
  <c r="L46"/>
  <c r="M46"/>
  <c r="N46"/>
  <c r="O46"/>
  <c r="P46"/>
  <c r="Q46"/>
  <c r="R46"/>
  <c r="S46"/>
  <c r="T46"/>
  <c r="U46"/>
  <c r="V46"/>
  <c r="L40"/>
  <c r="M40"/>
  <c r="O40"/>
  <c r="P40"/>
  <c r="Q40"/>
  <c r="R40"/>
  <c r="S40"/>
  <c r="T40"/>
  <c r="U40"/>
  <c r="V40"/>
  <c r="L49"/>
  <c r="M49"/>
  <c r="N49"/>
  <c r="O49"/>
  <c r="P49"/>
  <c r="Q49"/>
  <c r="R49"/>
  <c r="S49"/>
  <c r="T49"/>
  <c r="U49"/>
  <c r="V49"/>
  <c r="B50"/>
  <c r="B52" s="1"/>
  <c r="C50"/>
  <c r="D50"/>
  <c r="D52" s="1"/>
  <c r="E50"/>
  <c r="F50"/>
  <c r="F52" s="1"/>
  <c r="G50"/>
  <c r="H50"/>
  <c r="H52" s="1"/>
  <c r="I50"/>
  <c r="J50"/>
  <c r="J52" s="1"/>
  <c r="K50"/>
  <c r="L50"/>
  <c r="N50"/>
  <c r="N52" s="1"/>
  <c r="P50"/>
  <c r="R50"/>
  <c r="T50"/>
  <c r="V50"/>
  <c r="C52"/>
  <c r="C108" s="1"/>
  <c r="E52"/>
  <c r="E108" s="1"/>
  <c r="G52"/>
  <c r="G108" s="1"/>
  <c r="I52"/>
  <c r="I108" s="1"/>
  <c r="K52"/>
  <c r="K108" s="1"/>
  <c r="O69"/>
  <c r="P69"/>
  <c r="R69"/>
  <c r="R94" s="1"/>
  <c r="R106" s="1"/>
  <c r="T69"/>
  <c r="U69"/>
  <c r="V69"/>
  <c r="Q71"/>
  <c r="L73"/>
  <c r="M73"/>
  <c r="O73"/>
  <c r="P73"/>
  <c r="P94" s="1"/>
  <c r="P106" s="1"/>
  <c r="Q73"/>
  <c r="R73"/>
  <c r="T73"/>
  <c r="U73"/>
  <c r="V73"/>
  <c r="O74"/>
  <c r="L75"/>
  <c r="M75"/>
  <c r="N75"/>
  <c r="O75"/>
  <c r="P75"/>
  <c r="Q75"/>
  <c r="R75"/>
  <c r="S75"/>
  <c r="T75"/>
  <c r="U75"/>
  <c r="V75"/>
  <c r="U76"/>
  <c r="M77"/>
  <c r="T77"/>
  <c r="T94" s="1"/>
  <c r="T106" s="1"/>
  <c r="U77"/>
  <c r="V77"/>
  <c r="V94" s="1"/>
  <c r="V106" s="1"/>
  <c r="L78"/>
  <c r="M78"/>
  <c r="N78"/>
  <c r="P78"/>
  <c r="R78"/>
  <c r="V78"/>
  <c r="L79"/>
  <c r="M80"/>
  <c r="O80"/>
  <c r="P80"/>
  <c r="Q80"/>
  <c r="R80"/>
  <c r="S80"/>
  <c r="T80"/>
  <c r="U80"/>
  <c r="V80"/>
  <c r="Q81"/>
  <c r="R81"/>
  <c r="T81"/>
  <c r="N82"/>
  <c r="N94" s="1"/>
  <c r="N106" s="1"/>
  <c r="R82"/>
  <c r="S82"/>
  <c r="M83"/>
  <c r="N83"/>
  <c r="O83"/>
  <c r="P83"/>
  <c r="Q83"/>
  <c r="R83"/>
  <c r="S83"/>
  <c r="T83"/>
  <c r="V83"/>
  <c r="L84"/>
  <c r="L94" s="1"/>
  <c r="L106" s="1"/>
  <c r="R84"/>
  <c r="T84"/>
  <c r="V84"/>
  <c r="L85"/>
  <c r="M85"/>
  <c r="O85"/>
  <c r="P85"/>
  <c r="Q85"/>
  <c r="R85"/>
  <c r="S85"/>
  <c r="U85"/>
  <c r="M86"/>
  <c r="N86"/>
  <c r="O86"/>
  <c r="P86"/>
  <c r="Q86"/>
  <c r="R86"/>
  <c r="T86"/>
  <c r="U86"/>
  <c r="V86"/>
  <c r="O87"/>
  <c r="L89"/>
  <c r="M89"/>
  <c r="N89"/>
  <c r="O89"/>
  <c r="R89"/>
  <c r="S89"/>
  <c r="T89"/>
  <c r="U89"/>
  <c r="V89"/>
  <c r="L90"/>
  <c r="O90"/>
  <c r="P90"/>
  <c r="R90"/>
  <c r="S90"/>
  <c r="T90"/>
  <c r="U90"/>
  <c r="V90"/>
  <c r="M91"/>
  <c r="L92"/>
  <c r="M92"/>
  <c r="O92"/>
  <c r="P92"/>
  <c r="Q92"/>
  <c r="R92"/>
  <c r="S92"/>
  <c r="T92"/>
  <c r="V92"/>
  <c r="M93"/>
  <c r="P93"/>
  <c r="Q93"/>
  <c r="S93"/>
  <c r="U93"/>
  <c r="V93"/>
  <c r="B94"/>
  <c r="C94"/>
  <c r="D94"/>
  <c r="E94"/>
  <c r="F94"/>
  <c r="G94"/>
  <c r="H94"/>
  <c r="I94"/>
  <c r="J94"/>
  <c r="K94"/>
  <c r="M94"/>
  <c r="O94"/>
  <c r="Q94"/>
  <c r="S94"/>
  <c r="U94"/>
  <c r="R99"/>
  <c r="S99"/>
  <c r="O100"/>
  <c r="O104" s="1"/>
  <c r="O106" s="1"/>
  <c r="P103"/>
  <c r="T103"/>
  <c r="V103"/>
  <c r="B104"/>
  <c r="B106" s="1"/>
  <c r="C104"/>
  <c r="D104"/>
  <c r="D106" s="1"/>
  <c r="E104"/>
  <c r="F104"/>
  <c r="F106" s="1"/>
  <c r="G104"/>
  <c r="H104"/>
  <c r="H106" s="1"/>
  <c r="I104"/>
  <c r="J104"/>
  <c r="J106" s="1"/>
  <c r="K104"/>
  <c r="L104"/>
  <c r="M104"/>
  <c r="N104"/>
  <c r="P104"/>
  <c r="Q104"/>
  <c r="R104"/>
  <c r="S104"/>
  <c r="T104"/>
  <c r="U104"/>
  <c r="V104"/>
  <c r="C106"/>
  <c r="E106"/>
  <c r="G106"/>
  <c r="I106"/>
  <c r="K106"/>
  <c r="M106"/>
  <c r="Q106"/>
  <c r="S106"/>
  <c r="U106"/>
  <c r="AC106" l="1"/>
  <c r="AC52"/>
  <c r="N108"/>
  <c r="V108"/>
  <c r="T108"/>
  <c r="R108"/>
  <c r="P108"/>
  <c r="L108"/>
  <c r="J108"/>
  <c r="H108"/>
  <c r="F108"/>
  <c r="D108"/>
  <c r="B108"/>
  <c r="O108"/>
  <c r="X108"/>
  <c r="Y108"/>
  <c r="Z108"/>
  <c r="AC108" l="1"/>
</calcChain>
</file>

<file path=xl/sharedStrings.xml><?xml version="1.0" encoding="utf-8"?>
<sst xmlns="http://schemas.openxmlformats.org/spreadsheetml/2006/main" count="426" uniqueCount="110">
  <si>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</si>
  <si>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</si>
  <si>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</si>
  <si>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</si>
  <si>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</si>
  <si>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</si>
  <si>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</si>
  <si>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</si>
  <si>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</si>
  <si>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</si>
  <si>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</si>
  <si>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</si>
  <si>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</si>
  <si>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</si>
  <si>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</si>
  <si>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</si>
  <si>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</si>
  <si>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</si>
  <si>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</si>
  <si>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</si>
  <si>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</si>
  <si>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</si>
  <si>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PUBLIC BACCALAUREATE AND HIGHER DEGREE-GRANTING INSTITUTIONS</t>
  </si>
  <si>
    <t>HARRIS-STOWE</t>
  </si>
  <si>
    <t>LINCOLN</t>
  </si>
  <si>
    <t>MISSOURI SOUTHERN</t>
  </si>
  <si>
    <t>MISSOURI WESTERN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</si>
  <si>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</si>
  <si>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</si>
  <si>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</si>
  <si>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</si>
  <si>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</si>
  <si>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</si>
  <si>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</si>
  <si>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PUBLIC CERTIFICATE AND ASSOCIATE DEGREE-GRANTING INSTITUTIONS</t>
  </si>
  <si>
    <t>CROWDER</t>
  </si>
  <si>
    <t>EAST CENTRAL</t>
  </si>
  <si>
    <t xml:space="preserve">JEFFERSON </t>
  </si>
  <si>
    <t>LINN STATE</t>
  </si>
  <si>
    <t>N/A</t>
  </si>
  <si>
    <t>--</t>
  </si>
  <si>
    <t>METRO CC - PIONEER</t>
  </si>
  <si>
    <t>MINERAL AREA</t>
  </si>
  <si>
    <t>MOBERLY</t>
  </si>
  <si>
    <t>NORTH CENTRAL</t>
  </si>
  <si>
    <t>OZARKS TECH.</t>
  </si>
  <si>
    <t>STATE FAIR</t>
  </si>
  <si>
    <t>ST. CHARLES</t>
  </si>
  <si>
    <t>ST. LOUIS CC - FLO. VALLEY</t>
  </si>
  <si>
    <t>ST. LOUIS CC - FOREST PARK</t>
  </si>
  <si>
    <t>ST. LOUIS CC - MERAMEC</t>
  </si>
  <si>
    <t>THREE RIVERS</t>
  </si>
  <si>
    <t>PUBLIC INSTITUTION TOTAL</t>
  </si>
  <si>
    <t>N/A indicates that data are not available.</t>
  </si>
  <si>
    <t>-- indicates that the institution was not or is no longer open.</t>
  </si>
  <si>
    <t>SOURCE:  DHE02, Supplement to IPEDS EF</t>
  </si>
  <si>
    <t>PRIVATE NOT-FOR-PROFIT (INDEPENDENT) BACCALAUREATE AND HIGHER DEGREE-GRANTING INSTITUTIONS</t>
  </si>
  <si>
    <t>AVILA</t>
  </si>
  <si>
    <t>CARDINAL NEWMAN</t>
  </si>
  <si>
    <t>COLLEGE OF THE OZARKS</t>
  </si>
  <si>
    <t>COLUMBIA</t>
  </si>
  <si>
    <t>CULVER-STOCKTON</t>
  </si>
  <si>
    <t>DRURY</t>
  </si>
  <si>
    <t>EVANGEL</t>
  </si>
  <si>
    <t>FONTBONNE</t>
  </si>
  <si>
    <t>HANNIBAL-LAGRANGE</t>
  </si>
  <si>
    <t>LINDENWOOD</t>
  </si>
  <si>
    <t>MARYVILLE</t>
  </si>
  <si>
    <t>MISSOURI BAPTIST</t>
  </si>
  <si>
    <t>MISSOURI VALLEY</t>
  </si>
  <si>
    <t>PARK</t>
  </si>
  <si>
    <t>ROCKHURST</t>
  </si>
  <si>
    <t>SAINT LOUIS</t>
  </si>
  <si>
    <t>SOUTHWEST BAPTIST</t>
  </si>
  <si>
    <t>STEPHENS</t>
  </si>
  <si>
    <t>TARKIO</t>
  </si>
  <si>
    <t>WASHINGTON</t>
  </si>
  <si>
    <t xml:space="preserve">WEBSTER </t>
  </si>
  <si>
    <t>WESTMINSTER</t>
  </si>
  <si>
    <t>WILLIAM JEWELL</t>
  </si>
  <si>
    <t>WILLIAM WOODS</t>
  </si>
  <si>
    <t>PRIVATE NOT-FOR-PROFIT (INDEPENDENT) CERTIFICATE AND ASSOCIATE DEGREE-GRANTING INSTITUTIONS</t>
  </si>
  <si>
    <t>COTTEY</t>
  </si>
  <si>
    <t>KEMPER</t>
  </si>
  <si>
    <t>*</t>
  </si>
  <si>
    <t>NORTHWEST MISSOURI CC</t>
  </si>
  <si>
    <t>ST. MARY'S</t>
  </si>
  <si>
    <t>ST. PAUL'S</t>
  </si>
  <si>
    <t>WENTWORTH</t>
  </si>
  <si>
    <t>PRIVATE NOT-FOR-PROFIT (INDEPENDENT) TOTAL</t>
  </si>
  <si>
    <t>STATE TOTAL</t>
  </si>
  <si>
    <t>*No longer offering postsecondary programs</t>
  </si>
  <si>
    <t>TABLE 45</t>
  </si>
  <si>
    <t>TABLE 46</t>
  </si>
  <si>
    <t>SOURCE:  Enhanced Missouri Student Achievement Study</t>
  </si>
  <si>
    <t>MISSOURI STATE</t>
  </si>
  <si>
    <t>MSU- WEST PLAINS</t>
  </si>
  <si>
    <t>UCM</t>
  </si>
  <si>
    <t>CENTRAL METHODIST - CLAS</t>
  </si>
  <si>
    <t>MCC - BLUE RIVER</t>
  </si>
  <si>
    <t>MCC - BUS. AND TECH.</t>
  </si>
  <si>
    <t>MCC - LONGVIEW</t>
  </si>
  <si>
    <t>MCC - MAPLE WOODS</t>
  </si>
  <si>
    <t>MCC - PENN VALLEY</t>
  </si>
  <si>
    <t>ST. LOUIS CC -WILDWOOD</t>
  </si>
  <si>
    <t>MISSOURI UNIV. OF SCI. AND TECH.</t>
  </si>
  <si>
    <t>HISTORICAL TREND IN ON-CAMPUS HEADCOUNT ENROLLMENT OF FIRST-TIME</t>
  </si>
  <si>
    <t>DEGREE-SEEKING UNDERGRADUATES AT PUBLIC INSTITUTIONS, FALL 1981, FALL 2004-FALL 2008</t>
  </si>
  <si>
    <t xml:space="preserve">DEGREE-SEEKING UNDERGRADUATES AT PRIVATE NOT-FOR-PROFIT ( INDEPENDENT) INSTITUTIONS, </t>
  </si>
  <si>
    <t>FALL 1981, FALL 2004-FALL 2008</t>
  </si>
</sst>
</file>

<file path=xl/styles.xml><?xml version="1.0" encoding="utf-8"?>
<styleSheet xmlns="http://schemas.openxmlformats.org/spreadsheetml/2006/main">
  <fonts count="24">
    <font>
      <sz val="7"/>
      <name val="TMS"/>
    </font>
    <font>
      <sz val="8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u/>
      <sz val="8"/>
      <name val="Times New Roman"/>
      <family val="1"/>
    </font>
    <font>
      <sz val="8"/>
      <name val="Times New Roman"/>
      <family val="1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3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8"/>
      </left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8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6" fillId="0" borderId="0" applyNumberFormat="0" applyFill="0" applyBorder="0" applyAlignment="0" applyProtection="0"/>
    <xf numFmtId="0" fontId="7" fillId="0" borderId="14" applyNumberFormat="0" applyFill="0" applyAlignment="0" applyProtection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6" borderId="17" applyNumberFormat="0" applyAlignment="0" applyProtection="0"/>
    <xf numFmtId="0" fontId="14" fillId="7" borderId="18" applyNumberFormat="0" applyAlignment="0" applyProtection="0"/>
    <xf numFmtId="0" fontId="15" fillId="7" borderId="17" applyNumberFormat="0" applyAlignment="0" applyProtection="0"/>
    <xf numFmtId="0" fontId="16" fillId="0" borderId="19" applyNumberFormat="0" applyFill="0" applyAlignment="0" applyProtection="0"/>
    <xf numFmtId="0" fontId="17" fillId="8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2" applyNumberFormat="0" applyFill="0" applyAlignment="0" applyProtection="0"/>
    <xf numFmtId="0" fontId="21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9" borderId="21" applyNumberFormat="0" applyFont="0" applyAlignment="0" applyProtection="0"/>
    <xf numFmtId="0" fontId="22" fillId="0" borderId="0"/>
    <xf numFmtId="0" fontId="22" fillId="9" borderId="21" applyNumberFormat="0" applyFont="0" applyAlignment="0" applyProtection="0"/>
    <xf numFmtId="0" fontId="22" fillId="9" borderId="21" applyNumberFormat="0" applyFont="0" applyAlignment="0" applyProtection="0"/>
    <xf numFmtId="0" fontId="22" fillId="9" borderId="21" applyNumberFormat="0" applyFont="0" applyAlignment="0" applyProtection="0"/>
    <xf numFmtId="0" fontId="22" fillId="9" borderId="21" applyNumberFormat="0" applyFont="0" applyAlignment="0" applyProtection="0"/>
    <xf numFmtId="0" fontId="23" fillId="0" borderId="0"/>
    <xf numFmtId="0" fontId="22" fillId="0" borderId="0"/>
    <xf numFmtId="0" fontId="23" fillId="0" borderId="0"/>
  </cellStyleXfs>
  <cellXfs count="50">
    <xf numFmtId="0" fontId="0" fillId="0" borderId="0" xfId="0" applyNumberFormat="1" applyFont="1" applyAlignment="1" applyProtection="1">
      <protection locked="0"/>
    </xf>
    <xf numFmtId="0" fontId="1" fillId="0" borderId="0" xfId="0" applyNumberFormat="1" applyFont="1"/>
    <xf numFmtId="3" fontId="3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left" wrapText="1"/>
    </xf>
    <xf numFmtId="0" fontId="1" fillId="0" borderId="1" xfId="0" applyFont="1" applyBorder="1" applyAlignment="1"/>
    <xf numFmtId="0" fontId="1" fillId="0" borderId="0" xfId="0" applyNumberFormat="1" applyFont="1" applyAlignment="1" applyProtection="1">
      <protection locked="0"/>
    </xf>
    <xf numFmtId="0" fontId="1" fillId="0" borderId="0" xfId="0" applyFont="1" applyAlignment="1"/>
    <xf numFmtId="0" fontId="1" fillId="0" borderId="0" xfId="0" applyNumberFormat="1" applyFont="1" applyAlignment="1"/>
    <xf numFmtId="0" fontId="3" fillId="2" borderId="0" xfId="0" applyNumberFormat="1" applyFont="1" applyFill="1" applyAlignment="1"/>
    <xf numFmtId="0" fontId="1" fillId="0" borderId="1" xfId="0" applyNumberFormat="1" applyFont="1" applyBorder="1" applyAlignment="1"/>
    <xf numFmtId="0" fontId="3" fillId="2" borderId="0" xfId="0" applyNumberFormat="1" applyFont="1" applyFill="1" applyAlignment="1">
      <alignment horizontal="center"/>
    </xf>
    <xf numFmtId="0" fontId="1" fillId="0" borderId="3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3" fillId="2" borderId="3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1" fillId="0" borderId="2" xfId="0" applyNumberFormat="1" applyFont="1" applyBorder="1" applyAlignment="1"/>
    <xf numFmtId="0" fontId="4" fillId="0" borderId="0" xfId="0" applyFont="1" applyAlignment="1">
      <alignment horizontal="left" wrapText="1"/>
    </xf>
    <xf numFmtId="0" fontId="1" fillId="0" borderId="6" xfId="0" applyNumberFormat="1" applyFont="1" applyBorder="1" applyAlignment="1"/>
    <xf numFmtId="0" fontId="3" fillId="2" borderId="8" xfId="0" applyFont="1" applyFill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5" fillId="0" borderId="0" xfId="0" applyFont="1" applyAlignment="1"/>
    <xf numFmtId="0" fontId="2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1" fillId="0" borderId="4" xfId="0" applyNumberFormat="1" applyFont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2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3" fontId="1" fillId="0" borderId="3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1" fillId="0" borderId="10" xfId="0" applyNumberFormat="1" applyFont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center"/>
    </xf>
    <xf numFmtId="3" fontId="3" fillId="2" borderId="6" xfId="0" applyNumberFormat="1" applyFont="1" applyFill="1" applyBorder="1" applyAlignment="1">
      <alignment horizontal="center"/>
    </xf>
    <xf numFmtId="3" fontId="3" fillId="2" borderId="7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3" fontId="22" fillId="0" borderId="0" xfId="42" applyNumberFormat="1" applyFill="1" applyAlignment="1">
      <alignment horizontal="center"/>
    </xf>
    <xf numFmtId="3" fontId="22" fillId="0" borderId="0" xfId="48" applyNumberForma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3" fontId="3" fillId="2" borderId="13" xfId="0" applyNumberFormat="1" applyFont="1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</cellXfs>
  <cellStyles count="50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 2" xfId="47"/>
    <cellStyle name="Normal 2 3" xfId="49"/>
    <cellStyle name="Normal 7" xfId="42"/>
    <cellStyle name="Normal 8" xfId="48"/>
    <cellStyle name="Note 2" xfId="43"/>
    <cellStyle name="Note 3" xfId="45"/>
    <cellStyle name="Note 4" xfId="44"/>
    <cellStyle name="Note 5" xfId="41"/>
    <cellStyle name="Note 6" xfId="46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261"/>
  <sheetViews>
    <sheetView tabSelected="1" showOutlineSymbols="0" view="pageBreakPreview" zoomScale="60" zoomScaleNormal="100" workbookViewId="0"/>
  </sheetViews>
  <sheetFormatPr defaultRowHeight="11.25"/>
  <cols>
    <col min="1" max="1" width="47.19921875" style="7" customWidth="1"/>
    <col min="2" max="2" width="8" style="12" customWidth="1"/>
    <col min="3" max="24" width="8" style="12" hidden="1" customWidth="1"/>
    <col min="25" max="25" width="10" style="12" customWidth="1"/>
    <col min="26" max="29" width="9" style="12" customWidth="1"/>
    <col min="30" max="254" width="15.796875" style="7" customWidth="1"/>
    <col min="255" max="16384" width="9.59765625" style="5"/>
  </cols>
  <sheetData>
    <row r="1" spans="1:29" ht="12.75" customHeight="1">
      <c r="A1" s="6" t="s">
        <v>92</v>
      </c>
    </row>
    <row r="2" spans="1:29" ht="12.75" customHeight="1">
      <c r="A2" s="6" t="s">
        <v>106</v>
      </c>
      <c r="U2" s="22"/>
    </row>
    <row r="3" spans="1:29" ht="12.75" customHeight="1">
      <c r="A3" s="6" t="s">
        <v>107</v>
      </c>
      <c r="K3" s="23"/>
      <c r="U3" s="22"/>
    </row>
    <row r="4" spans="1:29" ht="12.75" customHeight="1" thickBot="1">
      <c r="A4" s="8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X4" s="24"/>
      <c r="Y4" s="24"/>
      <c r="Z4" s="24"/>
      <c r="AA4" s="24"/>
      <c r="AB4" s="24"/>
      <c r="AC4" s="24"/>
    </row>
    <row r="5" spans="1:29" ht="12.75" customHeight="1" thickTop="1">
      <c r="A5" s="9"/>
      <c r="B5" s="25"/>
      <c r="C5" s="26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8"/>
      <c r="U5" s="27"/>
      <c r="V5" s="28"/>
      <c r="W5" s="27"/>
    </row>
    <row r="6" spans="1:29" ht="12.75" customHeight="1">
      <c r="B6" s="10" t="s">
        <v>0</v>
      </c>
      <c r="C6" s="11" t="s">
        <v>0</v>
      </c>
      <c r="D6" s="12" t="s">
        <v>0</v>
      </c>
      <c r="E6" s="12" t="s">
        <v>0</v>
      </c>
      <c r="F6" s="12" t="s">
        <v>0</v>
      </c>
      <c r="G6" s="12" t="s">
        <v>0</v>
      </c>
      <c r="H6" s="12" t="s">
        <v>0</v>
      </c>
      <c r="I6" s="12" t="s">
        <v>0</v>
      </c>
      <c r="J6" s="12" t="s">
        <v>0</v>
      </c>
      <c r="K6" s="12" t="s">
        <v>0</v>
      </c>
      <c r="L6" s="12" t="s">
        <v>0</v>
      </c>
      <c r="M6" s="12" t="s">
        <v>0</v>
      </c>
      <c r="N6" s="12" t="s">
        <v>0</v>
      </c>
      <c r="O6" s="12" t="s">
        <v>0</v>
      </c>
      <c r="P6" s="12" t="s">
        <v>0</v>
      </c>
      <c r="Q6" s="12" t="s">
        <v>0</v>
      </c>
      <c r="R6" s="12" t="s">
        <v>0</v>
      </c>
      <c r="S6" s="12" t="s">
        <v>0</v>
      </c>
      <c r="T6" s="19" t="s">
        <v>0</v>
      </c>
      <c r="U6" s="12" t="s">
        <v>0</v>
      </c>
      <c r="V6" s="19" t="s">
        <v>0</v>
      </c>
      <c r="W6" s="12" t="s">
        <v>0</v>
      </c>
      <c r="X6" s="12" t="s">
        <v>0</v>
      </c>
      <c r="Y6" s="12" t="s">
        <v>0</v>
      </c>
      <c r="Z6" s="12" t="s">
        <v>0</v>
      </c>
      <c r="AA6" s="12" t="s">
        <v>0</v>
      </c>
      <c r="AB6" s="12" t="s">
        <v>0</v>
      </c>
      <c r="AC6" s="12" t="s">
        <v>0</v>
      </c>
    </row>
    <row r="7" spans="1:29" ht="12.75" customHeight="1">
      <c r="A7" s="8"/>
      <c r="B7" s="10" t="s">
        <v>1</v>
      </c>
      <c r="C7" s="13" t="s">
        <v>2</v>
      </c>
      <c r="D7" s="10" t="s">
        <v>3</v>
      </c>
      <c r="E7" s="10" t="s">
        <v>4</v>
      </c>
      <c r="F7" s="10" t="s">
        <v>5</v>
      </c>
      <c r="G7" s="10" t="s">
        <v>6</v>
      </c>
      <c r="H7" s="10" t="s">
        <v>7</v>
      </c>
      <c r="I7" s="10" t="s">
        <v>8</v>
      </c>
      <c r="J7" s="10" t="s">
        <v>9</v>
      </c>
      <c r="K7" s="10" t="s">
        <v>10</v>
      </c>
      <c r="L7" s="10" t="s">
        <v>11</v>
      </c>
      <c r="M7" s="10" t="s">
        <v>12</v>
      </c>
      <c r="N7" s="10" t="s">
        <v>13</v>
      </c>
      <c r="O7" s="10" t="s">
        <v>14</v>
      </c>
      <c r="P7" s="10" t="s">
        <v>15</v>
      </c>
      <c r="Q7" s="10" t="s">
        <v>16</v>
      </c>
      <c r="R7" s="10" t="s">
        <v>17</v>
      </c>
      <c r="S7" s="14" t="s">
        <v>18</v>
      </c>
      <c r="T7" s="20" t="s">
        <v>19</v>
      </c>
      <c r="U7" s="14" t="s">
        <v>20</v>
      </c>
      <c r="V7" s="20" t="s">
        <v>21</v>
      </c>
      <c r="W7" s="14">
        <v>2002</v>
      </c>
      <c r="X7" s="18">
        <v>2003</v>
      </c>
      <c r="Y7" s="18">
        <v>2004</v>
      </c>
      <c r="Z7" s="18">
        <v>2005</v>
      </c>
      <c r="AA7" s="18">
        <v>2006</v>
      </c>
      <c r="AB7" s="18">
        <v>2007</v>
      </c>
      <c r="AC7" s="18">
        <v>2008</v>
      </c>
    </row>
    <row r="8" spans="1:29" ht="12.75" customHeight="1">
      <c r="A8" s="15"/>
      <c r="B8" s="29"/>
      <c r="C8" s="30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2"/>
      <c r="U8" s="33"/>
      <c r="V8" s="32"/>
      <c r="W8" s="31"/>
    </row>
    <row r="9" spans="1:29" ht="33.75" customHeight="1">
      <c r="A9" s="16" t="s">
        <v>22</v>
      </c>
      <c r="B9" s="10"/>
      <c r="C9" s="11"/>
      <c r="T9" s="19"/>
      <c r="U9" s="22"/>
      <c r="V9" s="19"/>
    </row>
    <row r="10" spans="1:29" ht="12.75" customHeight="1">
      <c r="A10" s="16"/>
      <c r="B10" s="10"/>
      <c r="C10" s="11"/>
      <c r="T10" s="19"/>
      <c r="U10" s="22"/>
      <c r="V10" s="19"/>
    </row>
    <row r="11" spans="1:29" ht="12.75" customHeight="1">
      <c r="A11" s="7" t="s">
        <v>23</v>
      </c>
      <c r="B11" s="2">
        <v>168</v>
      </c>
      <c r="C11" s="34">
        <v>141</v>
      </c>
      <c r="D11" s="35">
        <v>169</v>
      </c>
      <c r="E11" s="35">
        <v>125</v>
      </c>
      <c r="F11" s="35">
        <v>150</v>
      </c>
      <c r="G11" s="35">
        <v>118</v>
      </c>
      <c r="H11" s="35">
        <v>84</v>
      </c>
      <c r="I11" s="35">
        <v>168</v>
      </c>
      <c r="J11" s="35">
        <v>155</v>
      </c>
      <c r="K11" s="35">
        <v>157</v>
      </c>
      <c r="L11" s="35">
        <f>89+4+39</f>
        <v>132</v>
      </c>
      <c r="M11" s="35">
        <f>96+3+27</f>
        <v>126</v>
      </c>
      <c r="N11" s="12">
        <v>147</v>
      </c>
      <c r="O11" s="35">
        <f>79+5+71</f>
        <v>155</v>
      </c>
      <c r="P11" s="35">
        <f>78+8+91</f>
        <v>177</v>
      </c>
      <c r="Q11" s="35">
        <f>75+8+56</f>
        <v>139</v>
      </c>
      <c r="R11" s="35">
        <f>94+13+92</f>
        <v>199</v>
      </c>
      <c r="S11" s="35">
        <f>86+13+82</f>
        <v>181</v>
      </c>
      <c r="T11" s="36">
        <f>80+15+79</f>
        <v>174</v>
      </c>
      <c r="U11" s="35">
        <f>67+20+84+6</f>
        <v>177</v>
      </c>
      <c r="V11" s="36">
        <f>67+14+95+3</f>
        <v>179</v>
      </c>
      <c r="W11" s="35">
        <f>26+73+4</f>
        <v>103</v>
      </c>
      <c r="X11" s="35">
        <f>52+1+71+4</f>
        <v>128</v>
      </c>
      <c r="Y11" s="35">
        <f>167+14+70+8</f>
        <v>259</v>
      </c>
      <c r="Z11" s="35">
        <f>207+18+68</f>
        <v>293</v>
      </c>
      <c r="AA11" s="35">
        <v>413</v>
      </c>
      <c r="AB11" s="35">
        <v>448</v>
      </c>
      <c r="AC11" s="35">
        <v>443</v>
      </c>
    </row>
    <row r="12" spans="1:29" ht="12.75" customHeight="1">
      <c r="A12" s="7" t="s">
        <v>24</v>
      </c>
      <c r="B12" s="2">
        <v>505</v>
      </c>
      <c r="C12" s="34">
        <v>460</v>
      </c>
      <c r="D12" s="35">
        <v>475</v>
      </c>
      <c r="E12" s="35">
        <v>548</v>
      </c>
      <c r="F12" s="35">
        <v>576</v>
      </c>
      <c r="G12" s="35">
        <v>498</v>
      </c>
      <c r="H12" s="35">
        <v>345</v>
      </c>
      <c r="I12" s="35">
        <v>453</v>
      </c>
      <c r="J12" s="35">
        <v>556</v>
      </c>
      <c r="K12" s="35">
        <v>612</v>
      </c>
      <c r="L12" s="35">
        <f>509+106+76+2</f>
        <v>693</v>
      </c>
      <c r="M12" s="35">
        <f>479+102+85+5</f>
        <v>671</v>
      </c>
      <c r="N12" s="35">
        <v>648</v>
      </c>
      <c r="O12" s="35">
        <f>329+68+44+2</f>
        <v>443</v>
      </c>
      <c r="P12" s="35">
        <f>376+53+55</f>
        <v>484</v>
      </c>
      <c r="Q12" s="35">
        <f>361+57+54</f>
        <v>472</v>
      </c>
      <c r="R12" s="35">
        <f>303+37+43</f>
        <v>383</v>
      </c>
      <c r="S12" s="35">
        <v>435</v>
      </c>
      <c r="T12" s="36">
        <v>528</v>
      </c>
      <c r="U12" s="35">
        <f>434+100+49</f>
        <v>583</v>
      </c>
      <c r="V12" s="36">
        <f>340+126+46</f>
        <v>512</v>
      </c>
      <c r="W12" s="35">
        <f>322+105+29+3</f>
        <v>459</v>
      </c>
      <c r="X12" s="35">
        <f>372+108+35+5</f>
        <v>520</v>
      </c>
      <c r="Y12" s="35">
        <f>430+167+27+3</f>
        <v>627</v>
      </c>
      <c r="Z12" s="35">
        <f>470+128+24+2</f>
        <v>624</v>
      </c>
      <c r="AA12" s="35">
        <v>560</v>
      </c>
      <c r="AB12" s="35">
        <v>596</v>
      </c>
      <c r="AC12" s="35">
        <v>564</v>
      </c>
    </row>
    <row r="13" spans="1:29" ht="12.75" customHeight="1">
      <c r="A13" s="6" t="s">
        <v>25</v>
      </c>
      <c r="B13" s="2">
        <v>1260</v>
      </c>
      <c r="C13" s="34">
        <v>1328</v>
      </c>
      <c r="D13" s="35">
        <v>1397</v>
      </c>
      <c r="E13" s="35">
        <v>1181</v>
      </c>
      <c r="F13" s="35">
        <v>1038</v>
      </c>
      <c r="G13" s="35">
        <v>910</v>
      </c>
      <c r="H13" s="35">
        <v>901</v>
      </c>
      <c r="I13" s="35">
        <v>1003</v>
      </c>
      <c r="J13" s="35">
        <v>1110</v>
      </c>
      <c r="K13" s="35">
        <v>979</v>
      </c>
      <c r="L13" s="35">
        <f>713+46+79+6</f>
        <v>844</v>
      </c>
      <c r="M13" s="35">
        <f>659+55+93+5</f>
        <v>812</v>
      </c>
      <c r="N13" s="12">
        <v>778</v>
      </c>
      <c r="O13" s="35">
        <f>594+44+71</f>
        <v>709</v>
      </c>
      <c r="P13" s="35">
        <f>657+66+73+2</f>
        <v>798</v>
      </c>
      <c r="Q13" s="35">
        <f>616+68+57+5</f>
        <v>746</v>
      </c>
      <c r="R13" s="35">
        <f>610+64+59+4</f>
        <v>737</v>
      </c>
      <c r="S13" s="35">
        <f>749+108+97</f>
        <v>954</v>
      </c>
      <c r="T13" s="36">
        <f>707+106+116+16</f>
        <v>945</v>
      </c>
      <c r="U13" s="35">
        <f>660+111+108+10</f>
        <v>889</v>
      </c>
      <c r="V13" s="36">
        <f>655+126+78+5</f>
        <v>864</v>
      </c>
      <c r="W13" s="35">
        <f>528+86+96+12</f>
        <v>722</v>
      </c>
      <c r="X13" s="35">
        <f>485+82+113+8</f>
        <v>688</v>
      </c>
      <c r="Y13" s="35">
        <f>571+124+77+2</f>
        <v>774</v>
      </c>
      <c r="Z13" s="35">
        <f>640+139+97+11</f>
        <v>887</v>
      </c>
      <c r="AA13" s="35">
        <v>935</v>
      </c>
      <c r="AB13" s="35">
        <v>764</v>
      </c>
      <c r="AC13" s="35">
        <v>730</v>
      </c>
    </row>
    <row r="14" spans="1:29" ht="12.75" customHeight="1">
      <c r="A14" s="7" t="s">
        <v>95</v>
      </c>
      <c r="B14" s="2">
        <v>2838</v>
      </c>
      <c r="C14" s="34">
        <v>2823</v>
      </c>
      <c r="D14" s="35">
        <v>2954</v>
      </c>
      <c r="E14" s="35">
        <v>2656</v>
      </c>
      <c r="F14" s="35">
        <v>2832</v>
      </c>
      <c r="G14" s="35">
        <v>2839</v>
      </c>
      <c r="H14" s="35">
        <v>3454</v>
      </c>
      <c r="I14" s="35">
        <v>3692</v>
      </c>
      <c r="J14" s="35">
        <v>3747</v>
      </c>
      <c r="K14" s="35">
        <v>3349</v>
      </c>
      <c r="L14" s="35">
        <f>2702+195+162+5</f>
        <v>3064</v>
      </c>
      <c r="M14" s="35">
        <f>2702+223+147+4</f>
        <v>3076</v>
      </c>
      <c r="N14" s="35">
        <v>2918</v>
      </c>
      <c r="O14" s="35">
        <f>2550+187+129+9</f>
        <v>2875</v>
      </c>
      <c r="P14" s="35">
        <f>2300+180+93</f>
        <v>2573</v>
      </c>
      <c r="Q14" s="35">
        <f>2270+178+99+6</f>
        <v>2553</v>
      </c>
      <c r="R14" s="35">
        <f>2457+256+105</f>
        <v>2818</v>
      </c>
      <c r="S14" s="35">
        <f>2480+269+82+6</f>
        <v>2837</v>
      </c>
      <c r="T14" s="36">
        <f>2329+254+86+4</f>
        <v>2673</v>
      </c>
      <c r="U14" s="35">
        <f>2252+247+79</f>
        <v>2578</v>
      </c>
      <c r="V14" s="36">
        <f>2309+202+54+5</f>
        <v>2570</v>
      </c>
      <c r="W14" s="35">
        <f>2332+221+185+22</f>
        <v>2760</v>
      </c>
      <c r="X14" s="35">
        <f>2469+206+45+4</f>
        <v>2724</v>
      </c>
      <c r="Y14" s="35">
        <f>2481+216+46</f>
        <v>2743</v>
      </c>
      <c r="Z14" s="35">
        <f>2423+207+43</f>
        <v>2673</v>
      </c>
      <c r="AA14" s="35">
        <v>2774</v>
      </c>
      <c r="AB14" s="35">
        <v>2646</v>
      </c>
      <c r="AC14" s="35">
        <v>2616</v>
      </c>
    </row>
    <row r="15" spans="1:29" ht="12.75" customHeight="1">
      <c r="A15" s="7" t="s">
        <v>105</v>
      </c>
      <c r="B15" s="2">
        <v>1488</v>
      </c>
      <c r="C15" s="34">
        <v>1313</v>
      </c>
      <c r="D15" s="35">
        <v>1148</v>
      </c>
      <c r="E15" s="35">
        <v>915</v>
      </c>
      <c r="F15" s="35">
        <v>863</v>
      </c>
      <c r="G15" s="35">
        <v>760</v>
      </c>
      <c r="H15" s="35">
        <v>850</v>
      </c>
      <c r="I15" s="35">
        <v>848</v>
      </c>
      <c r="J15" s="35">
        <v>832</v>
      </c>
      <c r="K15" s="35">
        <v>733</v>
      </c>
      <c r="L15" s="35">
        <f>543+168+20+3</f>
        <v>734</v>
      </c>
      <c r="M15" s="35">
        <f>588+220+12+1</f>
        <v>821</v>
      </c>
      <c r="N15" s="35">
        <v>800</v>
      </c>
      <c r="O15" s="35">
        <f>540+244+21</f>
        <v>805</v>
      </c>
      <c r="P15" s="35">
        <f>535+272+9+3</f>
        <v>819</v>
      </c>
      <c r="Q15" s="35">
        <f>779+10</f>
        <v>789</v>
      </c>
      <c r="R15" s="35">
        <f>507+186+13</f>
        <v>706</v>
      </c>
      <c r="S15" s="35">
        <f>496+225+7+5</f>
        <v>733</v>
      </c>
      <c r="T15" s="36">
        <f>508+172+8</f>
        <v>688</v>
      </c>
      <c r="U15" s="35">
        <f>502+172+6</f>
        <v>680</v>
      </c>
      <c r="V15" s="36">
        <f>530+163+9</f>
        <v>702</v>
      </c>
      <c r="W15" s="35">
        <f>594+194+6+1</f>
        <v>795</v>
      </c>
      <c r="X15" s="35">
        <f>689+182+7</f>
        <v>878</v>
      </c>
      <c r="Y15" s="35">
        <f>651+188+3</f>
        <v>842</v>
      </c>
      <c r="Z15" s="35">
        <f>684+195+5</f>
        <v>884</v>
      </c>
      <c r="AA15" s="35">
        <v>916</v>
      </c>
      <c r="AB15" s="35">
        <v>986</v>
      </c>
      <c r="AC15" s="35">
        <v>1045</v>
      </c>
    </row>
    <row r="16" spans="1:29" ht="12.75" customHeight="1">
      <c r="A16" s="6" t="s">
        <v>26</v>
      </c>
      <c r="B16" s="2">
        <v>908</v>
      </c>
      <c r="C16" s="34">
        <v>866</v>
      </c>
      <c r="D16" s="35">
        <v>849</v>
      </c>
      <c r="E16" s="35">
        <v>769</v>
      </c>
      <c r="F16" s="35">
        <v>700</v>
      </c>
      <c r="G16" s="35">
        <v>605</v>
      </c>
      <c r="H16" s="35">
        <v>725</v>
      </c>
      <c r="I16" s="35">
        <v>789</v>
      </c>
      <c r="J16" s="35">
        <v>825</v>
      </c>
      <c r="K16" s="35">
        <v>911</v>
      </c>
      <c r="L16" s="35">
        <f>752+57+99+1</f>
        <v>909</v>
      </c>
      <c r="M16" s="35">
        <f>735+60+94+3</f>
        <v>892</v>
      </c>
      <c r="N16" s="12">
        <v>926</v>
      </c>
      <c r="O16" s="35">
        <f>873+58+80+5</f>
        <v>1016</v>
      </c>
      <c r="P16" s="35">
        <f>882+51+103+2</f>
        <v>1038</v>
      </c>
      <c r="Q16" s="35">
        <f>896+68+89</f>
        <v>1053</v>
      </c>
      <c r="R16" s="35">
        <f>904+91+95</f>
        <v>1090</v>
      </c>
      <c r="S16" s="35">
        <f>905+91+70</f>
        <v>1066</v>
      </c>
      <c r="T16" s="36">
        <f>926+70+65</f>
        <v>1061</v>
      </c>
      <c r="U16" s="35">
        <f>836+80+75</f>
        <v>991</v>
      </c>
      <c r="V16" s="36">
        <f>1024+76+73+3</f>
        <v>1176</v>
      </c>
      <c r="W16" s="35">
        <f>1058+77+97+2</f>
        <v>1234</v>
      </c>
      <c r="X16" s="35">
        <f>923+73+47+2</f>
        <v>1045</v>
      </c>
      <c r="Y16" s="35">
        <f>949+71+55+3</f>
        <v>1078</v>
      </c>
      <c r="Z16" s="35">
        <f>944+65+68+2</f>
        <v>1079</v>
      </c>
      <c r="AA16" s="35">
        <v>1084</v>
      </c>
      <c r="AB16" s="35">
        <v>1118</v>
      </c>
      <c r="AC16" s="35">
        <v>1140</v>
      </c>
    </row>
    <row r="17" spans="1:29" ht="12.75" customHeight="1">
      <c r="A17" s="7" t="s">
        <v>27</v>
      </c>
      <c r="B17" s="2">
        <v>1252</v>
      </c>
      <c r="C17" s="34">
        <v>1301</v>
      </c>
      <c r="D17" s="35">
        <v>1214</v>
      </c>
      <c r="E17" s="35">
        <v>1050</v>
      </c>
      <c r="F17" s="35">
        <v>1098</v>
      </c>
      <c r="G17" s="35">
        <v>1015</v>
      </c>
      <c r="H17" s="35">
        <v>1308</v>
      </c>
      <c r="I17" s="35">
        <v>1353</v>
      </c>
      <c r="J17" s="35">
        <v>1451</v>
      </c>
      <c r="K17" s="35">
        <v>1343</v>
      </c>
      <c r="L17" s="35">
        <f>774+587+18+11</f>
        <v>1390</v>
      </c>
      <c r="M17" s="35">
        <f>707+507+21+10</f>
        <v>1245</v>
      </c>
      <c r="N17" s="35">
        <v>1279</v>
      </c>
      <c r="O17" s="35">
        <f>717+567+13+2</f>
        <v>1299</v>
      </c>
      <c r="P17" s="35">
        <f>836+427+9</f>
        <v>1272</v>
      </c>
      <c r="Q17" s="35">
        <f>832+435+13</f>
        <v>1280</v>
      </c>
      <c r="R17" s="35">
        <f>823+354+14</f>
        <v>1191</v>
      </c>
      <c r="S17" s="35">
        <f>669+436+9</f>
        <v>1114</v>
      </c>
      <c r="T17" s="36">
        <f>779+430+5</f>
        <v>1214</v>
      </c>
      <c r="U17" s="35">
        <f>772+477+7</f>
        <v>1256</v>
      </c>
      <c r="V17" s="36">
        <f>852+388+13</f>
        <v>1253</v>
      </c>
      <c r="W17" s="35">
        <f>732+406+1</f>
        <v>1139</v>
      </c>
      <c r="X17" s="35">
        <f>846+356+24+3</f>
        <v>1229</v>
      </c>
      <c r="Y17" s="35">
        <f>855+371+9</f>
        <v>1235</v>
      </c>
      <c r="Z17" s="35">
        <f>977+352+14</f>
        <v>1343</v>
      </c>
      <c r="AA17" s="35">
        <v>1272</v>
      </c>
      <c r="AB17" s="35">
        <v>1535</v>
      </c>
      <c r="AC17" s="35">
        <v>1536</v>
      </c>
    </row>
    <row r="18" spans="1:29" ht="12.75" customHeight="1">
      <c r="A18" s="7" t="s">
        <v>28</v>
      </c>
      <c r="B18" s="2">
        <v>2126</v>
      </c>
      <c r="C18" s="34">
        <v>1964</v>
      </c>
      <c r="D18" s="35">
        <v>1918</v>
      </c>
      <c r="E18" s="35">
        <v>1792</v>
      </c>
      <c r="F18" s="35">
        <v>1830</v>
      </c>
      <c r="G18" s="35">
        <v>1661</v>
      </c>
      <c r="H18" s="35">
        <v>1616</v>
      </c>
      <c r="I18" s="35">
        <v>1763</v>
      </c>
      <c r="J18" s="35">
        <v>1741</v>
      </c>
      <c r="K18" s="35">
        <v>1673</v>
      </c>
      <c r="L18" s="35">
        <f>1277+211+103</f>
        <v>1591</v>
      </c>
      <c r="M18" s="35">
        <f>1181+227+58+2</f>
        <v>1468</v>
      </c>
      <c r="N18" s="35">
        <v>1280</v>
      </c>
      <c r="O18" s="35">
        <f>955+196+64+1</f>
        <v>1216</v>
      </c>
      <c r="P18" s="35">
        <f>1126+259+52</f>
        <v>1437</v>
      </c>
      <c r="Q18" s="35">
        <f>1040+172+70</f>
        <v>1282</v>
      </c>
      <c r="R18" s="35">
        <f>974+149+93</f>
        <v>1216</v>
      </c>
      <c r="S18" s="35">
        <f>1051+188+114+7</f>
        <v>1360</v>
      </c>
      <c r="T18" s="36">
        <f>1185+210+113</f>
        <v>1508</v>
      </c>
      <c r="U18" s="35">
        <f>1171+263+96+4</f>
        <v>1534</v>
      </c>
      <c r="V18" s="36">
        <f>1304+199+99</f>
        <v>1602</v>
      </c>
      <c r="W18" s="35">
        <f>1243+215+108</f>
        <v>1566</v>
      </c>
      <c r="X18" s="35">
        <f>1201+210+76+2</f>
        <v>1489</v>
      </c>
      <c r="Y18" s="35">
        <f>1187+205+95+2</f>
        <v>1489</v>
      </c>
      <c r="Z18" s="35">
        <f>1348+196+115+4</f>
        <v>1663</v>
      </c>
      <c r="AA18" s="35">
        <v>1332</v>
      </c>
      <c r="AB18" s="35">
        <v>1571</v>
      </c>
      <c r="AC18" s="35">
        <v>1567</v>
      </c>
    </row>
    <row r="19" spans="1:29" ht="12.75" customHeight="1">
      <c r="A19" s="7" t="s">
        <v>29</v>
      </c>
      <c r="B19" s="2">
        <v>1584</v>
      </c>
      <c r="C19" s="34">
        <v>1710</v>
      </c>
      <c r="D19" s="35">
        <v>1597</v>
      </c>
      <c r="E19" s="35">
        <v>1627</v>
      </c>
      <c r="F19" s="35">
        <v>1409</v>
      </c>
      <c r="G19" s="35">
        <v>1702</v>
      </c>
      <c r="H19" s="35">
        <v>1496</v>
      </c>
      <c r="I19" s="35">
        <v>1614</v>
      </c>
      <c r="J19" s="35">
        <v>1601</v>
      </c>
      <c r="K19" s="35">
        <v>1301</v>
      </c>
      <c r="L19" s="35">
        <f>973+421+5+2</f>
        <v>1401</v>
      </c>
      <c r="M19" s="35">
        <f>973+422+2+3</f>
        <v>1400</v>
      </c>
      <c r="N19" s="35">
        <v>1620</v>
      </c>
      <c r="O19" s="35">
        <f>1079+464+2</f>
        <v>1545</v>
      </c>
      <c r="P19" s="35">
        <f>1114+384+4+2</f>
        <v>1504</v>
      </c>
      <c r="Q19" s="35">
        <f>1060+408+14</f>
        <v>1482</v>
      </c>
      <c r="R19" s="35">
        <f>1195+461+7</f>
        <v>1663</v>
      </c>
      <c r="S19" s="35">
        <f>1093+391</f>
        <v>1484</v>
      </c>
      <c r="T19" s="36">
        <f>1070+384+3</f>
        <v>1457</v>
      </c>
      <c r="U19" s="35">
        <f>1035+365+3</f>
        <v>1403</v>
      </c>
      <c r="V19" s="36">
        <f>1064+394+1</f>
        <v>1459</v>
      </c>
      <c r="W19" s="35">
        <f>1040+404+1+3</f>
        <v>1448</v>
      </c>
      <c r="X19" s="35">
        <f>959+353+5</f>
        <v>1317</v>
      </c>
      <c r="Y19" s="35">
        <f>1130+348+2</f>
        <v>1480</v>
      </c>
      <c r="Z19" s="35">
        <f>1064+378+2</f>
        <v>1444</v>
      </c>
      <c r="AA19" s="35">
        <v>1367</v>
      </c>
      <c r="AB19" s="35">
        <v>1405</v>
      </c>
      <c r="AC19" s="35">
        <v>1334</v>
      </c>
    </row>
    <row r="20" spans="1:29" ht="12.75" customHeight="1">
      <c r="A20" s="7" t="s">
        <v>97</v>
      </c>
      <c r="B20" s="2">
        <v>2233</v>
      </c>
      <c r="C20" s="34">
        <v>1942</v>
      </c>
      <c r="D20" s="35">
        <v>1858</v>
      </c>
      <c r="E20" s="35">
        <v>1738</v>
      </c>
      <c r="F20" s="35">
        <v>1799</v>
      </c>
      <c r="G20" s="35">
        <v>1797</v>
      </c>
      <c r="H20" s="35">
        <v>2109</v>
      </c>
      <c r="I20" s="35">
        <v>2274</v>
      </c>
      <c r="J20" s="35">
        <v>2430</v>
      </c>
      <c r="K20" s="35">
        <v>2082</v>
      </c>
      <c r="L20" s="35">
        <f>1829+128+113+6</f>
        <v>2076</v>
      </c>
      <c r="M20" s="35">
        <f>1661+105+155+5</f>
        <v>1926</v>
      </c>
      <c r="N20" s="35">
        <v>1613</v>
      </c>
      <c r="O20" s="35">
        <f>1228+120+129+12</f>
        <v>1489</v>
      </c>
      <c r="P20" s="35">
        <f>1336+93+115</f>
        <v>1544</v>
      </c>
      <c r="Q20" s="35">
        <f>1150+105+87+8</f>
        <v>1350</v>
      </c>
      <c r="R20" s="35">
        <f>1217+108+87</f>
        <v>1412</v>
      </c>
      <c r="S20" s="35">
        <f>1277+131+73+9</f>
        <v>1490</v>
      </c>
      <c r="T20" s="36">
        <f>1188+141+74+8</f>
        <v>1411</v>
      </c>
      <c r="U20" s="35">
        <f>1344+111+66+5</f>
        <v>1526</v>
      </c>
      <c r="V20" s="36">
        <f>1282+156+55+9</f>
        <v>1502</v>
      </c>
      <c r="W20" s="35">
        <f>1118+133+80</f>
        <v>1331</v>
      </c>
      <c r="X20" s="35">
        <f>1218+140+68+12</f>
        <v>1438</v>
      </c>
      <c r="Y20" s="35">
        <f>1304+130+60+11</f>
        <v>1505</v>
      </c>
      <c r="Z20" s="35">
        <f>1330+168+60+14</f>
        <v>1572</v>
      </c>
      <c r="AA20" s="35">
        <v>1592</v>
      </c>
      <c r="AB20" s="35">
        <v>1540</v>
      </c>
      <c r="AC20" s="35">
        <v>1605</v>
      </c>
    </row>
    <row r="21" spans="1:29" ht="12.75" customHeight="1">
      <c r="A21" s="7" t="s">
        <v>30</v>
      </c>
      <c r="B21" s="2">
        <v>4290</v>
      </c>
      <c r="C21" s="34">
        <v>4167</v>
      </c>
      <c r="D21" s="35">
        <v>3744</v>
      </c>
      <c r="E21" s="35">
        <v>3671</v>
      </c>
      <c r="F21" s="35">
        <v>3625</v>
      </c>
      <c r="G21" s="35">
        <v>3494</v>
      </c>
      <c r="H21" s="35">
        <v>3722</v>
      </c>
      <c r="I21" s="35">
        <v>4021</v>
      </c>
      <c r="J21" s="35">
        <v>4000</v>
      </c>
      <c r="K21" s="35">
        <v>3851</v>
      </c>
      <c r="L21" s="35">
        <f>2900+470+28+15</f>
        <v>3413</v>
      </c>
      <c r="M21" s="35">
        <f>2551+358+18+24</f>
        <v>2951</v>
      </c>
      <c r="N21" s="35">
        <v>2940</v>
      </c>
      <c r="O21" s="35">
        <f>3041+547+28+19</f>
        <v>3635</v>
      </c>
      <c r="P21" s="35">
        <f>3174+616+31+24</f>
        <v>3845</v>
      </c>
      <c r="Q21" s="35">
        <f>3094+603+29+11</f>
        <v>3737</v>
      </c>
      <c r="R21" s="35">
        <f>2915+599+19+13</f>
        <v>3546</v>
      </c>
      <c r="S21" s="35">
        <f>3105+682+28+26</f>
        <v>3841</v>
      </c>
      <c r="T21" s="36">
        <f>3174+703+37+18</f>
        <v>3932</v>
      </c>
      <c r="U21" s="35">
        <f>3485+689+39+13</f>
        <v>4226</v>
      </c>
      <c r="V21" s="36">
        <f>3396+717+28+26</f>
        <v>4167</v>
      </c>
      <c r="W21" s="35">
        <f>3637+746+45+11</f>
        <v>4439</v>
      </c>
      <c r="X21" s="35">
        <f>3837+770+44+18</f>
        <v>4669</v>
      </c>
      <c r="Y21" s="35">
        <f>3777+854+22+15</f>
        <v>4668</v>
      </c>
      <c r="Z21" s="35">
        <f>3718+945+42+13</f>
        <v>4718</v>
      </c>
      <c r="AA21" s="35">
        <v>4640</v>
      </c>
      <c r="AB21" s="35">
        <v>4760</v>
      </c>
      <c r="AC21" s="35">
        <v>5780</v>
      </c>
    </row>
    <row r="22" spans="1:29" ht="12.75" customHeight="1">
      <c r="A22" s="7" t="s">
        <v>31</v>
      </c>
      <c r="B22" s="2">
        <v>863</v>
      </c>
      <c r="C22" s="34">
        <v>843</v>
      </c>
      <c r="D22" s="35">
        <v>732</v>
      </c>
      <c r="E22" s="35">
        <v>711</v>
      </c>
      <c r="F22" s="35">
        <v>756</v>
      </c>
      <c r="G22" s="35">
        <v>696</v>
      </c>
      <c r="H22" s="35">
        <v>703</v>
      </c>
      <c r="I22" s="35">
        <v>727</v>
      </c>
      <c r="J22" s="35">
        <v>709</v>
      </c>
      <c r="K22" s="35">
        <v>649</v>
      </c>
      <c r="L22" s="35">
        <f>390+107+21+7</f>
        <v>525</v>
      </c>
      <c r="M22" s="35">
        <f>381+98+19+6</f>
        <v>504</v>
      </c>
      <c r="N22" s="35">
        <v>538</v>
      </c>
      <c r="O22" s="35">
        <f>393+112+12+9</f>
        <v>526</v>
      </c>
      <c r="P22" s="35">
        <f>445+123+22+12</f>
        <v>602</v>
      </c>
      <c r="Q22" s="35">
        <f>451+118+28</f>
        <v>597</v>
      </c>
      <c r="R22" s="35">
        <f>468+120+22+12</f>
        <v>622</v>
      </c>
      <c r="S22" s="35">
        <f>490+128+43</f>
        <v>661</v>
      </c>
      <c r="T22" s="36">
        <f>514+126+48</f>
        <v>688</v>
      </c>
      <c r="U22" s="35">
        <f>560+129+19</f>
        <v>708</v>
      </c>
      <c r="V22" s="36">
        <v>772</v>
      </c>
      <c r="W22" s="35">
        <f>588+164+17+11</f>
        <v>780</v>
      </c>
      <c r="X22" s="35">
        <f>589+176+18+9</f>
        <v>792</v>
      </c>
      <c r="Y22" s="35">
        <f>702+204+13+2</f>
        <v>921</v>
      </c>
      <c r="Z22" s="35">
        <f>807+209+18+5</f>
        <v>1039</v>
      </c>
      <c r="AA22" s="35">
        <v>939</v>
      </c>
      <c r="AB22" s="35">
        <v>944</v>
      </c>
      <c r="AC22" s="35">
        <v>1008</v>
      </c>
    </row>
    <row r="23" spans="1:29" ht="12.75" customHeight="1">
      <c r="A23" s="7" t="s">
        <v>32</v>
      </c>
      <c r="B23" s="2">
        <v>1291</v>
      </c>
      <c r="C23" s="34">
        <v>1208</v>
      </c>
      <c r="D23" s="35">
        <v>1186</v>
      </c>
      <c r="E23" s="35">
        <v>1169</v>
      </c>
      <c r="F23" s="35">
        <v>1053</v>
      </c>
      <c r="G23" s="35">
        <v>1021</v>
      </c>
      <c r="H23" s="35">
        <v>1022</v>
      </c>
      <c r="I23" s="35">
        <v>978</v>
      </c>
      <c r="J23" s="35">
        <v>948</v>
      </c>
      <c r="K23" s="35">
        <v>941</v>
      </c>
      <c r="L23" s="35">
        <f>617+20+104+14</f>
        <v>755</v>
      </c>
      <c r="M23" s="35">
        <f>465+10+55+2</f>
        <v>532</v>
      </c>
      <c r="N23" s="35">
        <v>569</v>
      </c>
      <c r="O23" s="35">
        <f>496+34+133+6</f>
        <v>669</v>
      </c>
      <c r="P23" s="35">
        <f>519+33+159+4</f>
        <v>715</v>
      </c>
      <c r="Q23" s="35">
        <f>632+136</f>
        <v>768</v>
      </c>
      <c r="R23" s="35">
        <f>423+35+234+6</f>
        <v>698</v>
      </c>
      <c r="S23" s="35">
        <f>498+31+161+5</f>
        <v>695</v>
      </c>
      <c r="T23" s="36">
        <f>494+45+116</f>
        <v>655</v>
      </c>
      <c r="U23" s="35">
        <f>446+52+121</f>
        <v>619</v>
      </c>
      <c r="V23" s="36">
        <f>455+61+114+4</f>
        <v>634</v>
      </c>
      <c r="W23" s="35">
        <f>368+58+88+5</f>
        <v>519</v>
      </c>
      <c r="X23" s="35">
        <f>408+58+63+5</f>
        <v>534</v>
      </c>
      <c r="Y23" s="35">
        <f>342+57+45+5</f>
        <v>449</v>
      </c>
      <c r="Z23" s="12">
        <f>431+67+31+2</f>
        <v>531</v>
      </c>
      <c r="AA23" s="35">
        <v>517</v>
      </c>
      <c r="AB23" s="35">
        <v>490</v>
      </c>
      <c r="AC23" s="35">
        <v>468</v>
      </c>
    </row>
    <row r="24" spans="1:29" ht="12.75" customHeight="1">
      <c r="A24" s="7" t="s">
        <v>33</v>
      </c>
      <c r="B24" s="2">
        <f t="shared" ref="B24:Z24" si="0">SUM(B11:B23)</f>
        <v>20806</v>
      </c>
      <c r="C24" s="37">
        <f t="shared" si="0"/>
        <v>20066</v>
      </c>
      <c r="D24" s="2">
        <f t="shared" si="0"/>
        <v>19241</v>
      </c>
      <c r="E24" s="2">
        <f t="shared" si="0"/>
        <v>17952</v>
      </c>
      <c r="F24" s="2">
        <f t="shared" si="0"/>
        <v>17729</v>
      </c>
      <c r="G24" s="2">
        <f t="shared" si="0"/>
        <v>17116</v>
      </c>
      <c r="H24" s="2">
        <f t="shared" si="0"/>
        <v>18335</v>
      </c>
      <c r="I24" s="2">
        <f t="shared" si="0"/>
        <v>19683</v>
      </c>
      <c r="J24" s="2">
        <f t="shared" si="0"/>
        <v>20105</v>
      </c>
      <c r="K24" s="2">
        <f t="shared" si="0"/>
        <v>18581</v>
      </c>
      <c r="L24" s="2">
        <f t="shared" si="0"/>
        <v>17527</v>
      </c>
      <c r="M24" s="2">
        <f t="shared" si="0"/>
        <v>16424</v>
      </c>
      <c r="N24" s="2">
        <f t="shared" si="0"/>
        <v>16056</v>
      </c>
      <c r="O24" s="2">
        <f t="shared" si="0"/>
        <v>16382</v>
      </c>
      <c r="P24" s="2">
        <f t="shared" si="0"/>
        <v>16808</v>
      </c>
      <c r="Q24" s="2">
        <f t="shared" si="0"/>
        <v>16248</v>
      </c>
      <c r="R24" s="2">
        <f t="shared" si="0"/>
        <v>16281</v>
      </c>
      <c r="S24" s="2">
        <f t="shared" si="0"/>
        <v>16851</v>
      </c>
      <c r="T24" s="38">
        <f t="shared" si="0"/>
        <v>16934</v>
      </c>
      <c r="U24" s="2">
        <f t="shared" si="0"/>
        <v>17170</v>
      </c>
      <c r="V24" s="38">
        <f t="shared" si="0"/>
        <v>17392</v>
      </c>
      <c r="W24" s="2">
        <f t="shared" si="0"/>
        <v>17295</v>
      </c>
      <c r="X24" s="2">
        <f t="shared" si="0"/>
        <v>17451</v>
      </c>
      <c r="Y24" s="2">
        <f t="shared" si="0"/>
        <v>18070</v>
      </c>
      <c r="Z24" s="2">
        <f t="shared" si="0"/>
        <v>18750</v>
      </c>
      <c r="AA24" s="2">
        <f>SUM(AA11:AA23)</f>
        <v>18341</v>
      </c>
      <c r="AB24" s="2">
        <f>SUM(AB11:AB23)</f>
        <v>18803</v>
      </c>
      <c r="AC24" s="2">
        <f>SUM(AC11:AC23)</f>
        <v>19836</v>
      </c>
    </row>
    <row r="25" spans="1:29" ht="12.75" customHeight="1">
      <c r="B25" s="2"/>
      <c r="C25" s="34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6"/>
      <c r="U25" s="35"/>
      <c r="V25" s="36"/>
      <c r="W25" s="35"/>
      <c r="Y25" s="35"/>
    </row>
    <row r="26" spans="1:29" ht="27.75" customHeight="1">
      <c r="A26" s="16" t="s">
        <v>34</v>
      </c>
      <c r="B26" s="2"/>
      <c r="C26" s="34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6"/>
      <c r="U26" s="35"/>
      <c r="V26" s="36"/>
      <c r="W26" s="35"/>
      <c r="Y26" s="35"/>
    </row>
    <row r="27" spans="1:29" ht="12.75" customHeight="1">
      <c r="A27" s="16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6"/>
      <c r="U27" s="35"/>
      <c r="V27" s="36"/>
      <c r="W27" s="35"/>
      <c r="Y27" s="35"/>
    </row>
    <row r="28" spans="1:29" ht="12.75" customHeight="1">
      <c r="A28" s="7" t="s">
        <v>35</v>
      </c>
      <c r="B28" s="2">
        <v>464</v>
      </c>
      <c r="C28" s="34">
        <v>718</v>
      </c>
      <c r="D28" s="35">
        <v>775</v>
      </c>
      <c r="E28" s="35">
        <v>454</v>
      </c>
      <c r="F28" s="35">
        <v>554</v>
      </c>
      <c r="G28" s="35">
        <v>274</v>
      </c>
      <c r="H28" s="35">
        <v>314</v>
      </c>
      <c r="I28" s="35">
        <v>239</v>
      </c>
      <c r="J28" s="35">
        <v>290</v>
      </c>
      <c r="K28" s="35">
        <v>341</v>
      </c>
      <c r="L28" s="35">
        <f>277+24+58+1</f>
        <v>360</v>
      </c>
      <c r="M28" s="35">
        <f>272+31+51</f>
        <v>354</v>
      </c>
      <c r="N28" s="35">
        <f>220+66</f>
        <v>286</v>
      </c>
      <c r="O28" s="35">
        <f>146+24+56+3</f>
        <v>229</v>
      </c>
      <c r="P28" s="35">
        <f>147+25+62</f>
        <v>234</v>
      </c>
      <c r="Q28" s="35">
        <f>219+23+28</f>
        <v>270</v>
      </c>
      <c r="R28" s="35">
        <f>180+28+78</f>
        <v>286</v>
      </c>
      <c r="S28" s="35">
        <f>198+22+85</f>
        <v>305</v>
      </c>
      <c r="T28" s="36">
        <f>212+29+66</f>
        <v>307</v>
      </c>
      <c r="U28" s="35">
        <f>221+13+60</f>
        <v>294</v>
      </c>
      <c r="V28" s="36">
        <f>232+60</f>
        <v>292</v>
      </c>
      <c r="W28" s="35">
        <f>14+393+3+229</f>
        <v>639</v>
      </c>
      <c r="X28" s="2">
        <f>547+28+159</f>
        <v>734</v>
      </c>
      <c r="Y28" s="2">
        <f>560+19+171</f>
        <v>750</v>
      </c>
      <c r="Z28" s="2">
        <f>477+143</f>
        <v>620</v>
      </c>
      <c r="AA28" s="2">
        <v>733</v>
      </c>
      <c r="AB28" s="2">
        <v>878</v>
      </c>
      <c r="AC28" s="2">
        <v>883</v>
      </c>
    </row>
    <row r="29" spans="1:29" ht="12.75" customHeight="1">
      <c r="A29" s="7" t="s">
        <v>36</v>
      </c>
      <c r="B29" s="2">
        <v>678</v>
      </c>
      <c r="C29" s="34">
        <v>780</v>
      </c>
      <c r="D29" s="35">
        <v>670</v>
      </c>
      <c r="E29" s="35">
        <v>645</v>
      </c>
      <c r="F29" s="35">
        <v>730</v>
      </c>
      <c r="G29" s="35">
        <v>1053</v>
      </c>
      <c r="H29" s="35">
        <v>585</v>
      </c>
      <c r="I29" s="35">
        <v>499</v>
      </c>
      <c r="J29" s="35">
        <v>539</v>
      </c>
      <c r="K29" s="35">
        <v>357</v>
      </c>
      <c r="L29" s="35">
        <f>330+1+120</f>
        <v>451</v>
      </c>
      <c r="M29" s="35">
        <f>393+1+117</f>
        <v>511</v>
      </c>
      <c r="N29" s="35">
        <f>361+112</f>
        <v>473</v>
      </c>
      <c r="O29" s="35">
        <f>344+2+88</f>
        <v>434</v>
      </c>
      <c r="P29" s="35">
        <f>307+68</f>
        <v>375</v>
      </c>
      <c r="Q29" s="35">
        <f>332+2+95</f>
        <v>429</v>
      </c>
      <c r="R29" s="35">
        <f>321+108</f>
        <v>429</v>
      </c>
      <c r="S29" s="35">
        <f>371+3+80</f>
        <v>454</v>
      </c>
      <c r="T29" s="36">
        <f>305+103</f>
        <v>408</v>
      </c>
      <c r="U29" s="35">
        <f>339+3+127</f>
        <v>469</v>
      </c>
      <c r="V29" s="36">
        <v>597</v>
      </c>
      <c r="W29" s="35">
        <f>2+565+157</f>
        <v>724</v>
      </c>
      <c r="X29" s="2">
        <f>323+149+4+315+56+1</f>
        <v>848</v>
      </c>
      <c r="Y29" s="2">
        <f>395+130+5+290+48</f>
        <v>868</v>
      </c>
      <c r="Z29" s="2">
        <f>329+213</f>
        <v>542</v>
      </c>
      <c r="AA29" s="2">
        <v>749</v>
      </c>
      <c r="AB29" s="2">
        <v>584</v>
      </c>
      <c r="AC29" s="2">
        <v>581</v>
      </c>
    </row>
    <row r="30" spans="1:29" ht="12.75" customHeight="1">
      <c r="A30" s="7" t="s">
        <v>37</v>
      </c>
      <c r="B30" s="2">
        <v>933</v>
      </c>
      <c r="C30" s="34">
        <v>956</v>
      </c>
      <c r="D30" s="35">
        <v>1030</v>
      </c>
      <c r="E30" s="35">
        <v>1009</v>
      </c>
      <c r="F30" s="35">
        <v>1173</v>
      </c>
      <c r="G30" s="35">
        <v>651</v>
      </c>
      <c r="H30" s="35">
        <v>694</v>
      </c>
      <c r="I30" s="35">
        <v>838</v>
      </c>
      <c r="J30" s="35">
        <v>912</v>
      </c>
      <c r="K30" s="35">
        <v>895</v>
      </c>
      <c r="L30" s="35">
        <f>486+2+336</f>
        <v>824</v>
      </c>
      <c r="M30" s="35">
        <f>612+488</f>
        <v>1100</v>
      </c>
      <c r="N30" s="35">
        <f>647+426</f>
        <v>1073</v>
      </c>
      <c r="O30" s="35">
        <f>585+6+338+2</f>
        <v>931</v>
      </c>
      <c r="P30" s="35">
        <f>637+11+313+3</f>
        <v>964</v>
      </c>
      <c r="Q30" s="35">
        <f>744+5+278</f>
        <v>1027</v>
      </c>
      <c r="R30" s="35">
        <f>632+4+213</f>
        <v>849</v>
      </c>
      <c r="S30" s="35">
        <f>753+12+290</f>
        <v>1055</v>
      </c>
      <c r="T30" s="36">
        <f>763+13+230</f>
        <v>1006</v>
      </c>
      <c r="U30" s="35">
        <f>773+15+582</f>
        <v>1370</v>
      </c>
      <c r="V30" s="36">
        <v>965</v>
      </c>
      <c r="W30" s="35">
        <f>131+666+19+15+142</f>
        <v>973</v>
      </c>
      <c r="X30" s="2">
        <f>685+137+14+142+26+1</f>
        <v>1005</v>
      </c>
      <c r="Y30" s="2">
        <f>656+175+15+126+26</f>
        <v>998</v>
      </c>
      <c r="Z30" s="2">
        <f>722+128+35+164+24+3</f>
        <v>1076</v>
      </c>
      <c r="AA30" s="2">
        <v>1120</v>
      </c>
      <c r="AB30" s="2">
        <v>1313</v>
      </c>
      <c r="AC30" s="2">
        <v>1198</v>
      </c>
    </row>
    <row r="31" spans="1:29" ht="12.75" customHeight="1">
      <c r="A31" s="7" t="s">
        <v>38</v>
      </c>
      <c r="B31" s="2" t="s">
        <v>39</v>
      </c>
      <c r="C31" s="34"/>
      <c r="D31" s="35"/>
      <c r="E31" s="35"/>
      <c r="F31" s="35"/>
      <c r="G31" s="35" t="s">
        <v>39</v>
      </c>
      <c r="H31" s="35" t="s">
        <v>39</v>
      </c>
      <c r="I31" s="35" t="s">
        <v>39</v>
      </c>
      <c r="J31" s="35" t="s">
        <v>39</v>
      </c>
      <c r="K31" s="35" t="s">
        <v>39</v>
      </c>
      <c r="L31" s="35" t="s">
        <v>39</v>
      </c>
      <c r="M31" s="35" t="s">
        <v>39</v>
      </c>
      <c r="N31" s="35" t="s">
        <v>39</v>
      </c>
      <c r="O31" s="35" t="s">
        <v>39</v>
      </c>
      <c r="P31" s="35" t="s">
        <v>39</v>
      </c>
      <c r="Q31" s="35">
        <f>291+9</f>
        <v>300</v>
      </c>
      <c r="R31" s="35">
        <f>317+9+3+1</f>
        <v>330</v>
      </c>
      <c r="S31" s="35">
        <f>341+4+8</f>
        <v>353</v>
      </c>
      <c r="T31" s="36">
        <f>316+6+14</f>
        <v>336</v>
      </c>
      <c r="U31" s="35">
        <f>332+5+40</f>
        <v>377</v>
      </c>
      <c r="V31" s="36">
        <f>373+26</f>
        <v>399</v>
      </c>
      <c r="W31" s="35">
        <f>378+38</f>
        <v>416</v>
      </c>
      <c r="X31" s="2">
        <f>360+2+30</f>
        <v>392</v>
      </c>
      <c r="Y31" s="2">
        <f>313+4+4</f>
        <v>321</v>
      </c>
      <c r="Z31" s="2">
        <v>371</v>
      </c>
      <c r="AA31" s="2">
        <v>420</v>
      </c>
      <c r="AB31" s="2">
        <v>413</v>
      </c>
      <c r="AC31" s="2">
        <v>463</v>
      </c>
    </row>
    <row r="32" spans="1:29" ht="12.75" customHeight="1">
      <c r="A32" s="6" t="s">
        <v>99</v>
      </c>
      <c r="B32" s="2" t="s">
        <v>40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 t="s">
        <v>40</v>
      </c>
      <c r="R32" s="35" t="s">
        <v>40</v>
      </c>
      <c r="S32" s="35" t="s">
        <v>40</v>
      </c>
      <c r="T32" s="36" t="s">
        <v>40</v>
      </c>
      <c r="U32" s="35">
        <f>173+152</f>
        <v>325</v>
      </c>
      <c r="V32" s="36">
        <f>191+134</f>
        <v>325</v>
      </c>
      <c r="W32" s="35">
        <f>38+156+11+104</f>
        <v>309</v>
      </c>
      <c r="X32" s="2">
        <f>209+50+127+22</f>
        <v>408</v>
      </c>
      <c r="Y32" s="2">
        <f>193+36+105+19</f>
        <v>353</v>
      </c>
      <c r="Z32" s="2">
        <f>272+43+156+17</f>
        <v>488</v>
      </c>
      <c r="AA32" s="2">
        <v>874</v>
      </c>
      <c r="AB32" s="2">
        <v>982</v>
      </c>
      <c r="AC32" s="2">
        <v>662</v>
      </c>
    </row>
    <row r="33" spans="1:29" ht="12.75" customHeight="1">
      <c r="A33" s="6" t="s">
        <v>100</v>
      </c>
      <c r="B33" s="2" t="s">
        <v>40</v>
      </c>
      <c r="C33" s="37" t="s">
        <v>40</v>
      </c>
      <c r="D33" s="2" t="s">
        <v>40</v>
      </c>
      <c r="E33" s="2" t="s">
        <v>40</v>
      </c>
      <c r="F33" s="2" t="s">
        <v>40</v>
      </c>
      <c r="G33" s="2" t="s">
        <v>40</v>
      </c>
      <c r="H33" s="2" t="s">
        <v>40</v>
      </c>
      <c r="I33" s="2" t="s">
        <v>40</v>
      </c>
      <c r="J33" s="2" t="s">
        <v>40</v>
      </c>
      <c r="K33" s="2" t="s">
        <v>40</v>
      </c>
      <c r="L33" s="2" t="s">
        <v>40</v>
      </c>
      <c r="M33" s="2" t="s">
        <v>40</v>
      </c>
      <c r="N33" s="2" t="s">
        <v>40</v>
      </c>
      <c r="O33" s="2" t="s">
        <v>40</v>
      </c>
      <c r="P33" s="2" t="s">
        <v>40</v>
      </c>
      <c r="Q33" s="2" t="s">
        <v>40</v>
      </c>
      <c r="R33" s="2" t="s">
        <v>40</v>
      </c>
      <c r="S33" s="2" t="s">
        <v>40</v>
      </c>
      <c r="T33" s="38" t="s">
        <v>40</v>
      </c>
      <c r="U33" s="2" t="s">
        <v>40</v>
      </c>
      <c r="V33" s="38" t="s">
        <v>40</v>
      </c>
      <c r="W33" s="35">
        <f>5+24+2+18+18</f>
        <v>67</v>
      </c>
      <c r="X33" s="2">
        <f>23+5+17+2</f>
        <v>47</v>
      </c>
      <c r="Y33" s="2">
        <f>15+6+8+3</f>
        <v>32</v>
      </c>
      <c r="Z33" s="2">
        <f>32+11+13+13</f>
        <v>69</v>
      </c>
      <c r="AA33" s="2">
        <v>205</v>
      </c>
      <c r="AB33" s="2">
        <v>204</v>
      </c>
      <c r="AC33" s="2">
        <v>103</v>
      </c>
    </row>
    <row r="34" spans="1:29" ht="12.75" customHeight="1">
      <c r="A34" s="6" t="s">
        <v>101</v>
      </c>
      <c r="B34" s="2">
        <v>1536</v>
      </c>
      <c r="C34" s="34">
        <v>1766</v>
      </c>
      <c r="D34" s="35">
        <v>1530</v>
      </c>
      <c r="E34" s="35">
        <v>1249</v>
      </c>
      <c r="F34" s="35">
        <v>1116</v>
      </c>
      <c r="G34" s="35">
        <v>838</v>
      </c>
      <c r="H34" s="35">
        <v>931</v>
      </c>
      <c r="I34" s="35">
        <v>1264</v>
      </c>
      <c r="J34" s="35">
        <v>1509</v>
      </c>
      <c r="K34" s="35">
        <v>1733</v>
      </c>
      <c r="L34" s="35">
        <f>554+3+663+3</f>
        <v>1223</v>
      </c>
      <c r="M34" s="35">
        <f>623+646</f>
        <v>1269</v>
      </c>
      <c r="N34" s="35">
        <f>597+9+622</f>
        <v>1228</v>
      </c>
      <c r="O34" s="35">
        <f>565+3+515+2</f>
        <v>1085</v>
      </c>
      <c r="P34" s="35">
        <f>505+5+538</f>
        <v>1048</v>
      </c>
      <c r="Q34" s="35">
        <f>531+3+492+6</f>
        <v>1032</v>
      </c>
      <c r="R34" s="35">
        <f>511+3+541+9</f>
        <v>1064</v>
      </c>
      <c r="S34" s="35">
        <f>565+5+530+3</f>
        <v>1103</v>
      </c>
      <c r="T34" s="36">
        <f>635+5+627+7</f>
        <v>1274</v>
      </c>
      <c r="U34" s="35">
        <f>486+4+556+8</f>
        <v>1054</v>
      </c>
      <c r="V34" s="36">
        <f>369+235+2</f>
        <v>606</v>
      </c>
      <c r="W34" s="35">
        <f>109+473+51+398</f>
        <v>1031</v>
      </c>
      <c r="X34" s="2">
        <f>345+87+222+31</f>
        <v>685</v>
      </c>
      <c r="Y34" s="2">
        <f>359+98+169+19</f>
        <v>645</v>
      </c>
      <c r="Z34" s="2">
        <f>518+145+242+38</f>
        <v>943</v>
      </c>
      <c r="AA34" s="2">
        <v>1492</v>
      </c>
      <c r="AB34" s="2">
        <v>1620</v>
      </c>
      <c r="AC34" s="2">
        <v>1415</v>
      </c>
    </row>
    <row r="35" spans="1:29" ht="12.75" customHeight="1">
      <c r="A35" s="6" t="s">
        <v>102</v>
      </c>
      <c r="B35" s="2">
        <v>740</v>
      </c>
      <c r="C35" s="34">
        <v>885</v>
      </c>
      <c r="D35" s="35">
        <v>806</v>
      </c>
      <c r="E35" s="35">
        <v>705</v>
      </c>
      <c r="F35" s="35">
        <v>652</v>
      </c>
      <c r="G35" s="35">
        <v>355</v>
      </c>
      <c r="H35" s="35">
        <v>391</v>
      </c>
      <c r="I35" s="35">
        <v>494</v>
      </c>
      <c r="J35" s="35">
        <v>499</v>
      </c>
      <c r="K35" s="35">
        <v>506</v>
      </c>
      <c r="L35" s="35">
        <f>269+5+252+2</f>
        <v>528</v>
      </c>
      <c r="M35" s="12">
        <f>278+5+278</f>
        <v>561</v>
      </c>
      <c r="N35" s="35">
        <v>551</v>
      </c>
      <c r="O35" s="35">
        <f>245+188+5</f>
        <v>438</v>
      </c>
      <c r="P35" s="35">
        <f>199+2+165</f>
        <v>366</v>
      </c>
      <c r="Q35" s="35">
        <f>255+4+186</f>
        <v>445</v>
      </c>
      <c r="R35" s="35">
        <f>263+218+3</f>
        <v>484</v>
      </c>
      <c r="S35" s="35">
        <f>341+5+251+6</f>
        <v>603</v>
      </c>
      <c r="T35" s="36">
        <f>345+4+203</f>
        <v>552</v>
      </c>
      <c r="U35" s="35">
        <f>426+2+311+4</f>
        <v>743</v>
      </c>
      <c r="V35" s="36">
        <f>434+4+351+9</f>
        <v>798</v>
      </c>
      <c r="W35" s="35">
        <f>162+267+53+121</f>
        <v>603</v>
      </c>
      <c r="X35" s="2">
        <f>231+161+73+33</f>
        <v>498</v>
      </c>
      <c r="Y35" s="2">
        <f>246+150+120+48</f>
        <v>564</v>
      </c>
      <c r="Z35" s="2">
        <f>378+193+293</f>
        <v>864</v>
      </c>
      <c r="AA35" s="2">
        <v>1297</v>
      </c>
      <c r="AB35" s="2">
        <v>1336</v>
      </c>
      <c r="AC35" s="2">
        <v>945</v>
      </c>
    </row>
    <row r="36" spans="1:29" ht="12.75" customHeight="1">
      <c r="A36" s="6" t="s">
        <v>103</v>
      </c>
      <c r="B36" s="2">
        <v>969</v>
      </c>
      <c r="C36" s="34">
        <v>1864</v>
      </c>
      <c r="D36" s="35">
        <v>1722</v>
      </c>
      <c r="E36" s="35">
        <v>1143</v>
      </c>
      <c r="F36" s="35">
        <v>1027</v>
      </c>
      <c r="G36" s="35">
        <v>539</v>
      </c>
      <c r="H36" s="35">
        <v>559</v>
      </c>
      <c r="I36" s="35">
        <v>730</v>
      </c>
      <c r="J36" s="35">
        <v>766</v>
      </c>
      <c r="K36" s="35">
        <v>712</v>
      </c>
      <c r="L36" s="35">
        <f>283+14+398+20</f>
        <v>715</v>
      </c>
      <c r="M36" s="12">
        <f>340+395+21</f>
        <v>756</v>
      </c>
      <c r="N36" s="35">
        <f>276+9+346+19</f>
        <v>650</v>
      </c>
      <c r="O36" s="35">
        <f>257+30+281+31</f>
        <v>599</v>
      </c>
      <c r="P36" s="35">
        <f>218+246</f>
        <v>464</v>
      </c>
      <c r="Q36" s="35">
        <f>194+276</f>
        <v>470</v>
      </c>
      <c r="R36" s="35">
        <f>179+34+294</f>
        <v>507</v>
      </c>
      <c r="S36" s="35">
        <f>199+24+272+10</f>
        <v>505</v>
      </c>
      <c r="T36" s="36">
        <f>164+30+263</f>
        <v>457</v>
      </c>
      <c r="U36" s="35">
        <f>241+13+404+24</f>
        <v>682</v>
      </c>
      <c r="V36" s="36">
        <f>229+38+295+16</f>
        <v>578</v>
      </c>
      <c r="W36" s="35">
        <f>40+195+14+267</f>
        <v>516</v>
      </c>
      <c r="X36" s="2">
        <f>195+22+263+13</f>
        <v>493</v>
      </c>
      <c r="Y36" s="2">
        <f>221+38+241+19</f>
        <v>519</v>
      </c>
      <c r="Z36" s="2">
        <f>326+29+403+36</f>
        <v>794</v>
      </c>
      <c r="AA36" s="2">
        <v>1076</v>
      </c>
      <c r="AB36" s="2">
        <v>961</v>
      </c>
      <c r="AC36" s="2">
        <v>761</v>
      </c>
    </row>
    <row r="37" spans="1:29" ht="12.75" hidden="1" customHeight="1">
      <c r="A37" s="6" t="s">
        <v>41</v>
      </c>
      <c r="B37" s="2">
        <v>0</v>
      </c>
      <c r="C37" s="34">
        <v>0</v>
      </c>
      <c r="D37" s="35">
        <v>0</v>
      </c>
      <c r="E37" s="35">
        <v>0</v>
      </c>
      <c r="F37" s="35">
        <v>0</v>
      </c>
      <c r="G37" s="35">
        <v>5</v>
      </c>
      <c r="H37" s="35" t="s">
        <v>40</v>
      </c>
      <c r="I37" s="35" t="s">
        <v>40</v>
      </c>
      <c r="J37" s="35" t="s">
        <v>40</v>
      </c>
      <c r="K37" s="35" t="s">
        <v>40</v>
      </c>
      <c r="L37" s="35" t="s">
        <v>40</v>
      </c>
      <c r="M37" s="35" t="s">
        <v>40</v>
      </c>
      <c r="N37" s="35" t="s">
        <v>40</v>
      </c>
      <c r="O37" s="35" t="s">
        <v>40</v>
      </c>
      <c r="P37" s="35" t="s">
        <v>40</v>
      </c>
      <c r="Q37" s="35" t="s">
        <v>40</v>
      </c>
      <c r="R37" s="35" t="s">
        <v>40</v>
      </c>
      <c r="S37" s="35" t="s">
        <v>40</v>
      </c>
      <c r="T37" s="36" t="s">
        <v>40</v>
      </c>
      <c r="U37" s="35" t="s">
        <v>40</v>
      </c>
      <c r="V37" s="36" t="s">
        <v>40</v>
      </c>
      <c r="W37" s="35" t="s">
        <v>40</v>
      </c>
      <c r="X37" s="2" t="s">
        <v>40</v>
      </c>
      <c r="Y37" s="2" t="s">
        <v>40</v>
      </c>
      <c r="Z37" s="2"/>
      <c r="AA37" s="2">
        <v>675</v>
      </c>
      <c r="AB37" s="2"/>
      <c r="AC37" s="2"/>
    </row>
    <row r="38" spans="1:29" ht="12.75" customHeight="1">
      <c r="A38" s="7" t="s">
        <v>42</v>
      </c>
      <c r="B38" s="2">
        <v>502</v>
      </c>
      <c r="C38" s="34">
        <v>522</v>
      </c>
      <c r="D38" s="35">
        <v>451</v>
      </c>
      <c r="E38" s="35">
        <v>445</v>
      </c>
      <c r="F38" s="35">
        <v>494</v>
      </c>
      <c r="G38" s="35">
        <v>270</v>
      </c>
      <c r="H38" s="35">
        <v>293</v>
      </c>
      <c r="I38" s="35">
        <v>485</v>
      </c>
      <c r="J38" s="35">
        <v>495</v>
      </c>
      <c r="K38" s="35">
        <v>466</v>
      </c>
      <c r="L38" s="35">
        <f>310+4+154</f>
        <v>468</v>
      </c>
      <c r="M38" s="12">
        <f>334+116</f>
        <v>450</v>
      </c>
      <c r="N38" s="35">
        <f>311+110</f>
        <v>421</v>
      </c>
      <c r="O38" s="35">
        <f>253+5+118</f>
        <v>376</v>
      </c>
      <c r="P38" s="35">
        <f>361+5+128</f>
        <v>494</v>
      </c>
      <c r="Q38" s="35">
        <f>279+13+167</f>
        <v>459</v>
      </c>
      <c r="R38" s="35">
        <f>271+5+100</f>
        <v>376</v>
      </c>
      <c r="S38" s="35">
        <f>343+9</f>
        <v>352</v>
      </c>
      <c r="T38" s="36">
        <f>412+7+87</f>
        <v>506</v>
      </c>
      <c r="U38" s="35">
        <f>395+13+108</f>
        <v>516</v>
      </c>
      <c r="V38" s="36">
        <f>486+16+105</f>
        <v>607</v>
      </c>
      <c r="W38" s="35">
        <f>263+287+12+53+72</f>
        <v>687</v>
      </c>
      <c r="X38" s="2">
        <f>274+234+15+52+33+1</f>
        <v>609</v>
      </c>
      <c r="Y38" s="2">
        <f>305+238+6+46+23</f>
        <v>618</v>
      </c>
      <c r="Z38" s="2">
        <f>280+262+11+64+31+1</f>
        <v>649</v>
      </c>
      <c r="AA38" s="2">
        <v>675</v>
      </c>
      <c r="AB38" s="2">
        <v>668</v>
      </c>
      <c r="AC38" s="2">
        <v>637</v>
      </c>
    </row>
    <row r="39" spans="1:29" ht="12.75" customHeight="1">
      <c r="A39" s="7" t="s">
        <v>43</v>
      </c>
      <c r="B39" s="2">
        <v>285</v>
      </c>
      <c r="C39" s="34">
        <v>273</v>
      </c>
      <c r="D39" s="35">
        <v>346</v>
      </c>
      <c r="E39" s="35">
        <v>308</v>
      </c>
      <c r="F39" s="35">
        <v>307</v>
      </c>
      <c r="G39" s="35">
        <v>309</v>
      </c>
      <c r="H39" s="35">
        <v>319</v>
      </c>
      <c r="I39" s="35">
        <v>402</v>
      </c>
      <c r="J39" s="35">
        <v>352</v>
      </c>
      <c r="K39" s="35">
        <v>334</v>
      </c>
      <c r="L39" s="35">
        <f>322+11+86</f>
        <v>419</v>
      </c>
      <c r="M39" s="12">
        <f>322+8+100+1</f>
        <v>431</v>
      </c>
      <c r="N39" s="35">
        <f>309+84</f>
        <v>393</v>
      </c>
      <c r="O39" s="35">
        <f>247+4+52+1</f>
        <v>304</v>
      </c>
      <c r="P39" s="35">
        <f>318+20+129+2</f>
        <v>469</v>
      </c>
      <c r="Q39" s="35">
        <f>297+13+86</f>
        <v>396</v>
      </c>
      <c r="R39" s="35">
        <f>258+8+61</f>
        <v>327</v>
      </c>
      <c r="S39" s="35">
        <f>315+11+71</f>
        <v>397</v>
      </c>
      <c r="T39" s="36">
        <f>329+15+77</f>
        <v>421</v>
      </c>
      <c r="U39" s="35">
        <f>312+7+76</f>
        <v>395</v>
      </c>
      <c r="V39" s="36">
        <f>280+12+52</f>
        <v>344</v>
      </c>
      <c r="W39" s="35">
        <f>260+39+15+115+23+6</f>
        <v>458</v>
      </c>
      <c r="X39" s="2">
        <f>40+340+10+15+51+1</f>
        <v>457</v>
      </c>
      <c r="Y39" s="2">
        <f>37+340+19+66</f>
        <v>462</v>
      </c>
      <c r="Z39" s="2">
        <f>27+249+10+23+127+3</f>
        <v>439</v>
      </c>
      <c r="AA39" s="2">
        <v>361</v>
      </c>
      <c r="AB39" s="2">
        <v>394</v>
      </c>
      <c r="AC39" s="2">
        <v>364</v>
      </c>
    </row>
    <row r="40" spans="1:29" ht="12.75" customHeight="1">
      <c r="A40" s="6" t="s">
        <v>96</v>
      </c>
      <c r="B40" s="2">
        <v>143</v>
      </c>
      <c r="C40" s="34">
        <v>137</v>
      </c>
      <c r="D40" s="35">
        <v>120</v>
      </c>
      <c r="E40" s="35">
        <v>114</v>
      </c>
      <c r="F40" s="35">
        <v>134</v>
      </c>
      <c r="G40" s="35">
        <v>142</v>
      </c>
      <c r="H40" s="35">
        <v>144</v>
      </c>
      <c r="I40" s="35">
        <v>134</v>
      </c>
      <c r="J40" s="35">
        <v>178</v>
      </c>
      <c r="K40" s="35">
        <v>222</v>
      </c>
      <c r="L40" s="35">
        <f>146+11+56+7</f>
        <v>220</v>
      </c>
      <c r="M40" s="35">
        <f>162+11+64</f>
        <v>237</v>
      </c>
      <c r="N40" s="12">
        <v>286</v>
      </c>
      <c r="O40" s="35">
        <f>205+18+58+5</f>
        <v>286</v>
      </c>
      <c r="P40" s="35">
        <f>192+28+43</f>
        <v>263</v>
      </c>
      <c r="Q40" s="35">
        <f>201+17+59+4</f>
        <v>281</v>
      </c>
      <c r="R40" s="35">
        <f>204+9+59</f>
        <v>272</v>
      </c>
      <c r="S40" s="35">
        <f>270+49</f>
        <v>319</v>
      </c>
      <c r="T40" s="36">
        <f>255+23+42</f>
        <v>320</v>
      </c>
      <c r="U40" s="35">
        <f>293+13+60</f>
        <v>366</v>
      </c>
      <c r="V40" s="36">
        <f>331+19+58+2</f>
        <v>410</v>
      </c>
      <c r="W40" s="35">
        <f>345+20+43+1</f>
        <v>409</v>
      </c>
      <c r="X40" s="2">
        <f>375+17+46+1</f>
        <v>439</v>
      </c>
      <c r="Y40" s="2">
        <f>325+17+47+6</f>
        <v>395</v>
      </c>
      <c r="Z40" s="2">
        <f>315+27+52</f>
        <v>394</v>
      </c>
      <c r="AA40" s="2">
        <v>340</v>
      </c>
      <c r="AB40" s="2">
        <v>411</v>
      </c>
      <c r="AC40" s="2">
        <v>486</v>
      </c>
    </row>
    <row r="41" spans="1:29" ht="12.75" customHeight="1">
      <c r="A41" s="7" t="s">
        <v>44</v>
      </c>
      <c r="B41" s="2">
        <v>227</v>
      </c>
      <c r="C41" s="34">
        <v>155</v>
      </c>
      <c r="D41" s="35">
        <v>231</v>
      </c>
      <c r="E41" s="35">
        <v>254</v>
      </c>
      <c r="F41" s="35">
        <v>301</v>
      </c>
      <c r="G41" s="35">
        <v>201</v>
      </c>
      <c r="H41" s="35">
        <v>188</v>
      </c>
      <c r="I41" s="35">
        <v>136</v>
      </c>
      <c r="J41" s="35">
        <v>128</v>
      </c>
      <c r="K41" s="35">
        <v>172</v>
      </c>
      <c r="L41" s="35">
        <f>111+26</f>
        <v>137</v>
      </c>
      <c r="M41" s="12">
        <f>146+30</f>
        <v>176</v>
      </c>
      <c r="N41" s="35">
        <f>169+34</f>
        <v>203</v>
      </c>
      <c r="O41" s="35">
        <f>142+4+33</f>
        <v>179</v>
      </c>
      <c r="P41" s="35">
        <f>152+28</f>
        <v>180</v>
      </c>
      <c r="Q41" s="35">
        <f>166+35</f>
        <v>201</v>
      </c>
      <c r="R41" s="35">
        <f>218+30</f>
        <v>248</v>
      </c>
      <c r="S41" s="35">
        <f>197+6+18</f>
        <v>221</v>
      </c>
      <c r="T41" s="36">
        <f>218+5+24</f>
        <v>247</v>
      </c>
      <c r="U41" s="35">
        <f>212+6+12</f>
        <v>230</v>
      </c>
      <c r="V41" s="36">
        <f>214+13+32</f>
        <v>259</v>
      </c>
      <c r="W41" s="35">
        <f>235+39+3+17+10</f>
        <v>304</v>
      </c>
      <c r="X41" s="2">
        <f>29+260+4+4+20</f>
        <v>317</v>
      </c>
      <c r="Y41" s="2">
        <f>38+259+2+10+57</f>
        <v>366</v>
      </c>
      <c r="Z41" s="2">
        <f>33+175+12+3+30</f>
        <v>253</v>
      </c>
      <c r="AA41" s="2">
        <v>272</v>
      </c>
      <c r="AB41" s="2">
        <v>290</v>
      </c>
      <c r="AC41" s="2">
        <v>327</v>
      </c>
    </row>
    <row r="42" spans="1:29" ht="12.75" customHeight="1">
      <c r="A42" s="7" t="s">
        <v>45</v>
      </c>
      <c r="B42" s="10" t="s">
        <v>40</v>
      </c>
      <c r="C42" s="11" t="s">
        <v>40</v>
      </c>
      <c r="D42" s="12" t="s">
        <v>40</v>
      </c>
      <c r="E42" s="12" t="s">
        <v>40</v>
      </c>
      <c r="F42" s="12" t="s">
        <v>40</v>
      </c>
      <c r="G42" s="12" t="s">
        <v>40</v>
      </c>
      <c r="H42" s="12" t="s">
        <v>40</v>
      </c>
      <c r="I42" s="12" t="s">
        <v>40</v>
      </c>
      <c r="J42" s="12" t="s">
        <v>40</v>
      </c>
      <c r="K42" s="12" t="s">
        <v>40</v>
      </c>
      <c r="L42" s="35">
        <f>133+200+4</f>
        <v>337</v>
      </c>
      <c r="M42" s="12">
        <f>144+171</f>
        <v>315</v>
      </c>
      <c r="N42" s="35">
        <f>270+297</f>
        <v>567</v>
      </c>
      <c r="O42" s="35">
        <f>251+5+219+3</f>
        <v>478</v>
      </c>
      <c r="P42" s="35">
        <f>333+1+289+6</f>
        <v>629</v>
      </c>
      <c r="Q42" s="35">
        <f>373+6+319</f>
        <v>698</v>
      </c>
      <c r="R42" s="35">
        <f>497+9+401+11</f>
        <v>918</v>
      </c>
      <c r="S42" s="35">
        <f>525+9+312+8</f>
        <v>854</v>
      </c>
      <c r="T42" s="36">
        <f>698+11+391+10</f>
        <v>1110</v>
      </c>
      <c r="U42" s="35">
        <f>807+10+392+10</f>
        <v>1219</v>
      </c>
      <c r="V42" s="36">
        <f>1307+17+495+12</f>
        <v>1831</v>
      </c>
      <c r="W42" s="35">
        <f>625+781+182+374</f>
        <v>1962</v>
      </c>
      <c r="X42" s="2">
        <f>862+602+349+141</f>
        <v>1954</v>
      </c>
      <c r="Y42" s="2">
        <f>864+567+364+138</f>
        <v>1933</v>
      </c>
      <c r="Z42" s="2">
        <f>878+604+319+144</f>
        <v>1945</v>
      </c>
      <c r="AA42" s="2">
        <v>1992</v>
      </c>
      <c r="AB42" s="2">
        <v>2377</v>
      </c>
      <c r="AC42" s="2">
        <v>2320</v>
      </c>
    </row>
    <row r="43" spans="1:29" ht="12.75" customHeight="1">
      <c r="A43" s="7" t="s">
        <v>47</v>
      </c>
      <c r="B43" s="10" t="s">
        <v>40</v>
      </c>
      <c r="C43" s="11" t="s">
        <v>40</v>
      </c>
      <c r="D43" s="12" t="s">
        <v>40</v>
      </c>
      <c r="E43" s="12" t="s">
        <v>40</v>
      </c>
      <c r="F43" s="12" t="s">
        <v>40</v>
      </c>
      <c r="G43" s="12" t="s">
        <v>40</v>
      </c>
      <c r="H43" s="35">
        <v>298</v>
      </c>
      <c r="I43" s="35">
        <v>87</v>
      </c>
      <c r="J43" s="35">
        <v>617</v>
      </c>
      <c r="K43" s="35">
        <v>666</v>
      </c>
      <c r="L43" s="35">
        <f>336+463</f>
        <v>799</v>
      </c>
      <c r="M43" s="35">
        <f>430+626</f>
        <v>1056</v>
      </c>
      <c r="N43" s="35">
        <f>429+592</f>
        <v>1021</v>
      </c>
      <c r="O43" s="35">
        <f>423+479</f>
        <v>902</v>
      </c>
      <c r="P43" s="35">
        <f>438+511</f>
        <v>949</v>
      </c>
      <c r="Q43" s="35">
        <f>412+577</f>
        <v>989</v>
      </c>
      <c r="R43" s="35">
        <f>614+656</f>
        <v>1270</v>
      </c>
      <c r="S43" s="35">
        <f>703+2+743</f>
        <v>1448</v>
      </c>
      <c r="T43" s="36">
        <f>745+680</f>
        <v>1425</v>
      </c>
      <c r="U43" s="35">
        <f>380+343</f>
        <v>723</v>
      </c>
      <c r="V43" s="36">
        <f>548+420</f>
        <v>968</v>
      </c>
      <c r="W43" s="35">
        <f>154+697+57+295</f>
        <v>1203</v>
      </c>
      <c r="X43" s="2">
        <f>915+214+284+52</f>
        <v>1465</v>
      </c>
      <c r="Y43" s="2">
        <f>937+196+303+57</f>
        <v>1493</v>
      </c>
      <c r="Z43" s="2">
        <f>885+192+3+296+51+1</f>
        <v>1428</v>
      </c>
      <c r="AA43" s="2">
        <v>1604</v>
      </c>
      <c r="AB43" s="2">
        <v>1627</v>
      </c>
      <c r="AC43" s="2">
        <v>1774</v>
      </c>
    </row>
    <row r="44" spans="1:29" ht="12.75" customHeight="1">
      <c r="A44" s="6" t="s">
        <v>48</v>
      </c>
      <c r="B44" s="2">
        <v>2926</v>
      </c>
      <c r="C44" s="34">
        <v>1287</v>
      </c>
      <c r="D44" s="35">
        <v>1385</v>
      </c>
      <c r="E44" s="35">
        <v>1122</v>
      </c>
      <c r="F44" s="35">
        <v>1050</v>
      </c>
      <c r="G44" s="35">
        <v>1071</v>
      </c>
      <c r="H44" s="35">
        <v>1082</v>
      </c>
      <c r="I44" s="35">
        <v>1066</v>
      </c>
      <c r="J44" s="35">
        <v>1224</v>
      </c>
      <c r="K44" s="35">
        <v>1107</v>
      </c>
      <c r="L44" s="35">
        <f>537+43+494+22</f>
        <v>1096</v>
      </c>
      <c r="M44" s="35">
        <f>522+13+451+20</f>
        <v>1006</v>
      </c>
      <c r="N44" s="35">
        <f>417+28+392+13</f>
        <v>850</v>
      </c>
      <c r="O44" s="35">
        <f>425+18+294+13</f>
        <v>750</v>
      </c>
      <c r="P44" s="35">
        <f>425+18+278+6</f>
        <v>727</v>
      </c>
      <c r="Q44" s="35">
        <f>490+29+311</f>
        <v>830</v>
      </c>
      <c r="R44" s="35">
        <f>522+16+333+5</f>
        <v>876</v>
      </c>
      <c r="S44" s="35">
        <f>516+8+357+9</f>
        <v>890</v>
      </c>
      <c r="T44" s="36">
        <f>518+13+344+8</f>
        <v>883</v>
      </c>
      <c r="U44" s="35">
        <f>473+16+313</f>
        <v>802</v>
      </c>
      <c r="V44" s="36">
        <f>624+29+341+10</f>
        <v>1004</v>
      </c>
      <c r="W44" s="35">
        <f>38+707+16+14+342+8</f>
        <v>1125</v>
      </c>
      <c r="X44" s="2">
        <f>711+33+33+354+11+13</f>
        <v>1155</v>
      </c>
      <c r="Y44" s="2">
        <f>662+44+21+308+14+7</f>
        <v>1056</v>
      </c>
      <c r="Z44" s="2">
        <f>674+392</f>
        <v>1066</v>
      </c>
      <c r="AA44" s="2">
        <v>1138</v>
      </c>
      <c r="AB44" s="2">
        <v>1107</v>
      </c>
      <c r="AC44" s="2">
        <v>1173</v>
      </c>
    </row>
    <row r="45" spans="1:29" ht="12.75" customHeight="1">
      <c r="A45" s="6" t="s">
        <v>49</v>
      </c>
      <c r="B45" s="2">
        <v>1924</v>
      </c>
      <c r="C45" s="34">
        <v>543</v>
      </c>
      <c r="D45" s="35">
        <v>688</v>
      </c>
      <c r="E45" s="35">
        <v>569</v>
      </c>
      <c r="F45" s="35">
        <v>519</v>
      </c>
      <c r="G45" s="35">
        <v>613</v>
      </c>
      <c r="H45" s="35">
        <v>552</v>
      </c>
      <c r="I45" s="35">
        <v>681</v>
      </c>
      <c r="J45" s="35">
        <v>571</v>
      </c>
      <c r="K45" s="35">
        <v>648</v>
      </c>
      <c r="L45" s="35">
        <f>252+10+436+17</f>
        <v>715</v>
      </c>
      <c r="M45" s="12">
        <f>229+19+492+17</f>
        <v>757</v>
      </c>
      <c r="N45" s="35">
        <f>237+25+408+25</f>
        <v>695</v>
      </c>
      <c r="O45" s="35">
        <f>247+29+404+20</f>
        <v>700</v>
      </c>
      <c r="P45" s="35">
        <f>214+34+393+26</f>
        <v>667</v>
      </c>
      <c r="Q45" s="35">
        <f>252+33+412+38</f>
        <v>735</v>
      </c>
      <c r="R45" s="35">
        <f>222+32+354+19</f>
        <v>627</v>
      </c>
      <c r="S45" s="35">
        <f>215+33+399+18</f>
        <v>665</v>
      </c>
      <c r="T45" s="36">
        <f>259+40+514+32</f>
        <v>845</v>
      </c>
      <c r="U45" s="35">
        <f>335+44+638+57</f>
        <v>1074</v>
      </c>
      <c r="V45" s="36">
        <f>384+42+701+54</f>
        <v>1181</v>
      </c>
      <c r="W45" s="35">
        <f>60+464+57+27+671+49</f>
        <v>1328</v>
      </c>
      <c r="X45" s="2">
        <f>463+36+18+561+21+15</f>
        <v>1114</v>
      </c>
      <c r="Y45" s="2">
        <f>463+30+24+627+16+26</f>
        <v>1186</v>
      </c>
      <c r="Z45" s="2">
        <f>422+662</f>
        <v>1084</v>
      </c>
      <c r="AA45" s="2">
        <v>1244</v>
      </c>
      <c r="AB45" s="2">
        <v>1132</v>
      </c>
      <c r="AC45" s="2">
        <v>1177</v>
      </c>
    </row>
    <row r="46" spans="1:29" ht="12.75" customHeight="1">
      <c r="A46" s="6" t="s">
        <v>50</v>
      </c>
      <c r="B46" s="2">
        <v>2818</v>
      </c>
      <c r="C46" s="34">
        <v>1622</v>
      </c>
      <c r="D46" s="35">
        <v>1666</v>
      </c>
      <c r="E46" s="35">
        <v>1371</v>
      </c>
      <c r="F46" s="35">
        <v>1450</v>
      </c>
      <c r="G46" s="35">
        <v>985</v>
      </c>
      <c r="H46" s="35">
        <v>1026</v>
      </c>
      <c r="I46" s="35">
        <v>1195</v>
      </c>
      <c r="J46" s="35">
        <v>1184</v>
      </c>
      <c r="K46" s="35">
        <v>1088</v>
      </c>
      <c r="L46" s="35">
        <f>616+9+451+8</f>
        <v>1084</v>
      </c>
      <c r="M46" s="35">
        <f>610+11+440+14</f>
        <v>1075</v>
      </c>
      <c r="N46" s="35">
        <f>498+10+329+5</f>
        <v>842</v>
      </c>
      <c r="O46" s="35">
        <f>463+12+336+15</f>
        <v>826</v>
      </c>
      <c r="P46" s="35">
        <f>495+13+277+12</f>
        <v>797</v>
      </c>
      <c r="Q46" s="35">
        <f>493+19+352+18</f>
        <v>882</v>
      </c>
      <c r="R46" s="35">
        <f>569+14+306+13</f>
        <v>902</v>
      </c>
      <c r="S46" s="35">
        <f>632+20+331+13</f>
        <v>996</v>
      </c>
      <c r="T46" s="36">
        <f>702+24+351+17</f>
        <v>1094</v>
      </c>
      <c r="U46" s="35">
        <f>647+28+330+19</f>
        <v>1024</v>
      </c>
      <c r="V46" s="36">
        <f>820+22+339+14</f>
        <v>1195</v>
      </c>
      <c r="W46" s="35">
        <f>209+668+22+74+252+10</f>
        <v>1235</v>
      </c>
      <c r="X46" s="2">
        <f>860+266+25+235+58+6</f>
        <v>1450</v>
      </c>
      <c r="Y46" s="2">
        <f>988+281+18+264+61+7</f>
        <v>1619</v>
      </c>
      <c r="Z46" s="2">
        <f>833+267</f>
        <v>1100</v>
      </c>
      <c r="AA46" s="2">
        <v>2089</v>
      </c>
      <c r="AB46" s="2">
        <v>1786</v>
      </c>
      <c r="AC46" s="2">
        <v>1551</v>
      </c>
    </row>
    <row r="47" spans="1:29" ht="12.75" customHeight="1">
      <c r="A47" s="6" t="s">
        <v>104</v>
      </c>
      <c r="B47" s="10" t="s">
        <v>40</v>
      </c>
      <c r="C47" s="10" t="s">
        <v>40</v>
      </c>
      <c r="D47" s="10" t="s">
        <v>40</v>
      </c>
      <c r="E47" s="10" t="s">
        <v>40</v>
      </c>
      <c r="F47" s="10" t="s">
        <v>40</v>
      </c>
      <c r="G47" s="10" t="s">
        <v>40</v>
      </c>
      <c r="H47" s="10" t="s">
        <v>40</v>
      </c>
      <c r="I47" s="10" t="s">
        <v>40</v>
      </c>
      <c r="J47" s="10" t="s">
        <v>40</v>
      </c>
      <c r="K47" s="10" t="s">
        <v>40</v>
      </c>
      <c r="L47" s="10" t="s">
        <v>40</v>
      </c>
      <c r="M47" s="10" t="s">
        <v>40</v>
      </c>
      <c r="N47" s="10" t="s">
        <v>40</v>
      </c>
      <c r="O47" s="10" t="s">
        <v>40</v>
      </c>
      <c r="P47" s="10" t="s">
        <v>40</v>
      </c>
      <c r="Q47" s="10" t="s">
        <v>40</v>
      </c>
      <c r="R47" s="10" t="s">
        <v>40</v>
      </c>
      <c r="S47" s="10" t="s">
        <v>40</v>
      </c>
      <c r="T47" s="10" t="s">
        <v>40</v>
      </c>
      <c r="U47" s="10" t="s">
        <v>40</v>
      </c>
      <c r="V47" s="10" t="s">
        <v>40</v>
      </c>
      <c r="W47" s="10" t="s">
        <v>40</v>
      </c>
      <c r="X47" s="2" t="s">
        <v>40</v>
      </c>
      <c r="Y47" s="2" t="s">
        <v>40</v>
      </c>
      <c r="Z47" s="2" t="s">
        <v>40</v>
      </c>
      <c r="AA47" s="2" t="s">
        <v>40</v>
      </c>
      <c r="AB47" s="2">
        <v>269</v>
      </c>
      <c r="AC47" s="2">
        <v>191</v>
      </c>
    </row>
    <row r="48" spans="1:29" ht="12.75" customHeight="1">
      <c r="A48" s="7" t="s">
        <v>46</v>
      </c>
      <c r="B48" s="2">
        <v>331</v>
      </c>
      <c r="C48" s="34">
        <v>329</v>
      </c>
      <c r="D48" s="35">
        <v>298</v>
      </c>
      <c r="E48" s="35">
        <v>313</v>
      </c>
      <c r="F48" s="35">
        <v>340</v>
      </c>
      <c r="G48" s="35">
        <v>378</v>
      </c>
      <c r="H48" s="35">
        <v>347</v>
      </c>
      <c r="I48" s="35">
        <v>386</v>
      </c>
      <c r="J48" s="35">
        <v>449</v>
      </c>
      <c r="K48" s="35">
        <v>483</v>
      </c>
      <c r="L48" s="35">
        <f>322+99</f>
        <v>421</v>
      </c>
      <c r="M48" s="12">
        <f>313+78</f>
        <v>391</v>
      </c>
      <c r="N48" s="12">
        <f>326+119</f>
        <v>445</v>
      </c>
      <c r="O48" s="35">
        <v>458</v>
      </c>
      <c r="P48" s="35">
        <f>297+6+112</f>
        <v>415</v>
      </c>
      <c r="Q48" s="35">
        <f>276+111</f>
        <v>387</v>
      </c>
      <c r="R48" s="35">
        <f>341+11+81</f>
        <v>433</v>
      </c>
      <c r="S48" s="35">
        <f>351+10+92</f>
        <v>453</v>
      </c>
      <c r="T48" s="36">
        <f>339+22+108</f>
        <v>469</v>
      </c>
      <c r="U48" s="35">
        <f>473+16+148+5</f>
        <v>642</v>
      </c>
      <c r="V48" s="36">
        <f>460+19+109</f>
        <v>588</v>
      </c>
      <c r="W48" s="35">
        <f>272+207+12+43+42+1</f>
        <v>577</v>
      </c>
      <c r="X48" s="2">
        <f>213+328+9+48+48</f>
        <v>646</v>
      </c>
      <c r="Y48" s="2">
        <f>218+302+10+46+33+2</f>
        <v>611</v>
      </c>
      <c r="Z48" s="2">
        <f>244+279+4+45+29+1</f>
        <v>602</v>
      </c>
      <c r="AA48" s="2">
        <v>700</v>
      </c>
      <c r="AB48" s="2">
        <v>668</v>
      </c>
      <c r="AC48" s="2">
        <v>568</v>
      </c>
    </row>
    <row r="49" spans="1:29" ht="12.75" customHeight="1">
      <c r="A49" s="7" t="s">
        <v>51</v>
      </c>
      <c r="B49" s="2">
        <v>407</v>
      </c>
      <c r="C49" s="34">
        <v>450</v>
      </c>
      <c r="D49" s="35">
        <v>451</v>
      </c>
      <c r="E49" s="35">
        <v>435</v>
      </c>
      <c r="F49" s="35">
        <v>538</v>
      </c>
      <c r="G49" s="35">
        <v>615</v>
      </c>
      <c r="H49" s="35">
        <v>465</v>
      </c>
      <c r="I49" s="35">
        <v>380</v>
      </c>
      <c r="J49" s="35">
        <v>536</v>
      </c>
      <c r="K49" s="35">
        <v>460</v>
      </c>
      <c r="L49" s="35">
        <f>361+17+163+4</f>
        <v>545</v>
      </c>
      <c r="M49" s="12">
        <f>373+25+118+2</f>
        <v>518</v>
      </c>
      <c r="N49" s="35">
        <f>368+30+94</f>
        <v>492</v>
      </c>
      <c r="O49" s="35">
        <f>368+16+83+4</f>
        <v>471</v>
      </c>
      <c r="P49" s="35">
        <f>283+9+34</f>
        <v>326</v>
      </c>
      <c r="Q49" s="35">
        <f>254+14+55</f>
        <v>323</v>
      </c>
      <c r="R49" s="35">
        <f>273+10+53</f>
        <v>336</v>
      </c>
      <c r="S49" s="35">
        <f>362+10+71</f>
        <v>443</v>
      </c>
      <c r="T49" s="36">
        <f>306+29</f>
        <v>335</v>
      </c>
      <c r="U49" s="35">
        <f>308+13+55+1</f>
        <v>377</v>
      </c>
      <c r="V49" s="36">
        <f>322+17+68</f>
        <v>407</v>
      </c>
      <c r="W49" s="35">
        <f>89+173+14+13+52</f>
        <v>341</v>
      </c>
      <c r="X49" s="2">
        <f>242+166+14+52+16+2</f>
        <v>492</v>
      </c>
      <c r="Y49" s="2">
        <f>249+193+21+57+17+3</f>
        <v>540</v>
      </c>
      <c r="Z49" s="2">
        <f>229+180+11+55+17+1</f>
        <v>493</v>
      </c>
      <c r="AA49" s="2">
        <v>518</v>
      </c>
      <c r="AB49" s="2">
        <v>563</v>
      </c>
      <c r="AC49" s="2">
        <v>476</v>
      </c>
    </row>
    <row r="50" spans="1:29" ht="12.75" customHeight="1">
      <c r="A50" s="6" t="s">
        <v>33</v>
      </c>
      <c r="B50" s="2">
        <f t="shared" ref="B50:Z50" si="1">SUM(B28:B49)</f>
        <v>14883</v>
      </c>
      <c r="C50" s="37">
        <f t="shared" si="1"/>
        <v>12287</v>
      </c>
      <c r="D50" s="2">
        <f t="shared" si="1"/>
        <v>12169</v>
      </c>
      <c r="E50" s="2">
        <f t="shared" si="1"/>
        <v>10136</v>
      </c>
      <c r="F50" s="2">
        <f t="shared" si="1"/>
        <v>10385</v>
      </c>
      <c r="G50" s="2">
        <f t="shared" si="1"/>
        <v>8299</v>
      </c>
      <c r="H50" s="2">
        <f t="shared" si="1"/>
        <v>8188</v>
      </c>
      <c r="I50" s="2">
        <f t="shared" si="1"/>
        <v>9016</v>
      </c>
      <c r="J50" s="2">
        <f t="shared" si="1"/>
        <v>10249</v>
      </c>
      <c r="K50" s="2">
        <f t="shared" si="1"/>
        <v>10190</v>
      </c>
      <c r="L50" s="2">
        <f t="shared" si="1"/>
        <v>10342</v>
      </c>
      <c r="M50" s="2">
        <f t="shared" si="1"/>
        <v>10963</v>
      </c>
      <c r="N50" s="2">
        <f t="shared" si="1"/>
        <v>10476</v>
      </c>
      <c r="O50" s="2">
        <f t="shared" si="1"/>
        <v>9446</v>
      </c>
      <c r="P50" s="2">
        <f t="shared" si="1"/>
        <v>9367</v>
      </c>
      <c r="Q50" s="2">
        <f t="shared" si="1"/>
        <v>10154</v>
      </c>
      <c r="R50" s="2">
        <f t="shared" si="1"/>
        <v>10534</v>
      </c>
      <c r="S50" s="2">
        <f t="shared" si="1"/>
        <v>11416</v>
      </c>
      <c r="T50" s="38">
        <f t="shared" si="1"/>
        <v>11995</v>
      </c>
      <c r="U50" s="2">
        <f t="shared" si="1"/>
        <v>12682</v>
      </c>
      <c r="V50" s="38">
        <f t="shared" si="1"/>
        <v>13354</v>
      </c>
      <c r="W50" s="2">
        <f t="shared" si="1"/>
        <v>14907</v>
      </c>
      <c r="X50" s="2">
        <f t="shared" si="1"/>
        <v>15208</v>
      </c>
      <c r="Y50" s="2">
        <f t="shared" si="1"/>
        <v>15329</v>
      </c>
      <c r="Z50" s="2">
        <f t="shared" si="1"/>
        <v>15220</v>
      </c>
      <c r="AA50" s="2">
        <f>SUM(AA28:AA49)</f>
        <v>19574</v>
      </c>
      <c r="AB50" s="2">
        <f>SUM(AB28:AB49)</f>
        <v>19583</v>
      </c>
      <c r="AC50" s="2">
        <f>SUM(AC28:AC49)</f>
        <v>18055</v>
      </c>
    </row>
    <row r="51" spans="1:29" ht="12.75" customHeight="1">
      <c r="B51" s="2"/>
      <c r="C51" s="34"/>
      <c r="D51" s="35"/>
      <c r="E51" s="35"/>
      <c r="F51" s="35"/>
      <c r="G51" s="35"/>
      <c r="H51" s="35"/>
      <c r="I51" s="35"/>
      <c r="J51" s="35"/>
      <c r="K51" s="35"/>
      <c r="N51" s="35"/>
      <c r="O51" s="35"/>
      <c r="P51" s="35"/>
      <c r="Q51" s="35"/>
      <c r="R51" s="35"/>
      <c r="S51" s="35"/>
      <c r="T51" s="36"/>
      <c r="U51" s="35"/>
      <c r="V51" s="19"/>
    </row>
    <row r="52" spans="1:29" ht="12.75" customHeight="1" thickBot="1">
      <c r="A52" s="17" t="s">
        <v>52</v>
      </c>
      <c r="B52" s="39">
        <f t="shared" ref="B52:W52" si="2">SUM(B24+B50)</f>
        <v>35689</v>
      </c>
      <c r="C52" s="40">
        <f t="shared" si="2"/>
        <v>32353</v>
      </c>
      <c r="D52" s="39">
        <f t="shared" si="2"/>
        <v>31410</v>
      </c>
      <c r="E52" s="39">
        <f t="shared" si="2"/>
        <v>28088</v>
      </c>
      <c r="F52" s="39">
        <f t="shared" si="2"/>
        <v>28114</v>
      </c>
      <c r="G52" s="39">
        <f t="shared" si="2"/>
        <v>25415</v>
      </c>
      <c r="H52" s="39">
        <f t="shared" si="2"/>
        <v>26523</v>
      </c>
      <c r="I52" s="39">
        <f t="shared" si="2"/>
        <v>28699</v>
      </c>
      <c r="J52" s="39">
        <f t="shared" si="2"/>
        <v>30354</v>
      </c>
      <c r="K52" s="39">
        <f t="shared" si="2"/>
        <v>28771</v>
      </c>
      <c r="L52" s="39">
        <f t="shared" si="2"/>
        <v>27869</v>
      </c>
      <c r="M52" s="39">
        <f t="shared" si="2"/>
        <v>27387</v>
      </c>
      <c r="N52" s="39">
        <f t="shared" si="2"/>
        <v>26532</v>
      </c>
      <c r="O52" s="39">
        <f t="shared" si="2"/>
        <v>25828</v>
      </c>
      <c r="P52" s="39">
        <f t="shared" si="2"/>
        <v>26175</v>
      </c>
      <c r="Q52" s="39">
        <f t="shared" si="2"/>
        <v>26402</v>
      </c>
      <c r="R52" s="39">
        <f t="shared" si="2"/>
        <v>26815</v>
      </c>
      <c r="S52" s="39">
        <f t="shared" si="2"/>
        <v>28267</v>
      </c>
      <c r="T52" s="41">
        <f t="shared" si="2"/>
        <v>28929</v>
      </c>
      <c r="U52" s="39">
        <f t="shared" si="2"/>
        <v>29852</v>
      </c>
      <c r="V52" s="41">
        <f t="shared" si="2"/>
        <v>30746</v>
      </c>
      <c r="W52" s="39">
        <f t="shared" si="2"/>
        <v>32202</v>
      </c>
      <c r="X52" s="39">
        <f t="shared" ref="X52:AC52" si="3">SUM(X24+X50)</f>
        <v>32659</v>
      </c>
      <c r="Y52" s="39">
        <f t="shared" si="3"/>
        <v>33399</v>
      </c>
      <c r="Z52" s="39">
        <f t="shared" si="3"/>
        <v>33970</v>
      </c>
      <c r="AA52" s="39">
        <f t="shared" si="3"/>
        <v>37915</v>
      </c>
      <c r="AB52" s="39">
        <f t="shared" si="3"/>
        <v>38386</v>
      </c>
      <c r="AC52" s="39">
        <f t="shared" si="3"/>
        <v>37891</v>
      </c>
    </row>
    <row r="53" spans="1:29" ht="12.75" customHeight="1" thickTop="1">
      <c r="A53" s="6" t="s">
        <v>53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</row>
    <row r="54" spans="1:29" ht="12.75" customHeight="1">
      <c r="A54" s="6" t="s">
        <v>54</v>
      </c>
      <c r="B54" s="35"/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</row>
    <row r="55" spans="1:29" ht="12.75" customHeight="1">
      <c r="A55" s="6" t="s">
        <v>94</v>
      </c>
      <c r="B55" s="35"/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</row>
    <row r="56" spans="1:29" ht="12.75" customHeight="1">
      <c r="N56" s="35"/>
      <c r="O56" s="35"/>
      <c r="P56" s="35"/>
      <c r="Q56" s="35"/>
      <c r="R56" s="35"/>
      <c r="S56" s="35"/>
      <c r="T56" s="35"/>
    </row>
    <row r="57" spans="1:29" ht="12.75" customHeight="1">
      <c r="A57" s="6" t="s">
        <v>93</v>
      </c>
      <c r="N57" s="35"/>
      <c r="O57" s="35"/>
      <c r="P57" s="35"/>
      <c r="Q57" s="35"/>
      <c r="R57" s="35"/>
      <c r="S57" s="35"/>
      <c r="T57" s="35"/>
    </row>
    <row r="58" spans="1:29" ht="12.75" customHeight="1">
      <c r="A58" s="6" t="s">
        <v>106</v>
      </c>
      <c r="N58" s="35"/>
      <c r="O58" s="35"/>
      <c r="P58" s="35"/>
      <c r="Q58" s="35"/>
      <c r="R58" s="35"/>
      <c r="S58" s="35"/>
      <c r="T58" s="35"/>
      <c r="U58" s="22"/>
    </row>
    <row r="59" spans="1:29" ht="12.75" customHeight="1">
      <c r="A59" s="6" t="s">
        <v>108</v>
      </c>
      <c r="N59" s="35"/>
      <c r="O59" s="35"/>
      <c r="P59" s="35"/>
      <c r="Q59" s="35"/>
      <c r="R59" s="35"/>
      <c r="S59" s="35"/>
      <c r="T59" s="35"/>
      <c r="U59" s="22"/>
    </row>
    <row r="60" spans="1:29" ht="12.75" customHeight="1">
      <c r="A60" s="6" t="s">
        <v>109</v>
      </c>
      <c r="N60" s="35"/>
      <c r="O60" s="35"/>
      <c r="P60" s="35"/>
      <c r="Q60" s="35"/>
      <c r="R60" s="35"/>
      <c r="S60" s="35"/>
      <c r="T60" s="35"/>
      <c r="U60" s="22"/>
    </row>
    <row r="61" spans="1:29" ht="12.75" customHeight="1" thickBot="1">
      <c r="A61" s="8"/>
      <c r="B61" s="10"/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2"/>
      <c r="O61" s="2"/>
      <c r="P61" s="2"/>
      <c r="Q61" s="2"/>
      <c r="R61" s="2"/>
      <c r="S61" s="2"/>
      <c r="T61" s="2"/>
      <c r="U61" s="2"/>
      <c r="V61" s="2"/>
      <c r="W61" s="2"/>
      <c r="X61" s="24"/>
      <c r="Y61" s="24"/>
      <c r="Z61" s="24"/>
      <c r="AA61" s="24"/>
      <c r="AB61" s="24"/>
      <c r="AC61" s="24"/>
    </row>
    <row r="62" spans="1:29" ht="12.75" customHeight="1" thickTop="1">
      <c r="A62" s="9"/>
      <c r="B62" s="25"/>
      <c r="C62" s="26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8"/>
      <c r="U62" s="27"/>
      <c r="V62" s="28"/>
      <c r="W62" s="27"/>
    </row>
    <row r="63" spans="1:29" ht="12.75" customHeight="1">
      <c r="B63" s="10" t="s">
        <v>0</v>
      </c>
      <c r="C63" s="11" t="s">
        <v>0</v>
      </c>
      <c r="D63" s="12" t="s">
        <v>0</v>
      </c>
      <c r="E63" s="12" t="s">
        <v>0</v>
      </c>
      <c r="F63" s="12" t="s">
        <v>0</v>
      </c>
      <c r="G63" s="12" t="s">
        <v>0</v>
      </c>
      <c r="H63" s="12" t="s">
        <v>0</v>
      </c>
      <c r="I63" s="12" t="s">
        <v>0</v>
      </c>
      <c r="J63" s="12" t="s">
        <v>0</v>
      </c>
      <c r="K63" s="12" t="s">
        <v>0</v>
      </c>
      <c r="L63" s="12" t="s">
        <v>0</v>
      </c>
      <c r="M63" s="12" t="s">
        <v>0</v>
      </c>
      <c r="N63" s="12" t="s">
        <v>0</v>
      </c>
      <c r="O63" s="12" t="s">
        <v>0</v>
      </c>
      <c r="P63" s="12" t="s">
        <v>0</v>
      </c>
      <c r="Q63" s="12" t="s">
        <v>0</v>
      </c>
      <c r="R63" s="12" t="s">
        <v>0</v>
      </c>
      <c r="S63" s="12" t="s">
        <v>0</v>
      </c>
      <c r="T63" s="19" t="s">
        <v>0</v>
      </c>
      <c r="U63" s="12" t="s">
        <v>0</v>
      </c>
      <c r="V63" s="19" t="s">
        <v>0</v>
      </c>
      <c r="W63" s="12" t="s">
        <v>0</v>
      </c>
      <c r="X63" s="12" t="s">
        <v>0</v>
      </c>
      <c r="Y63" s="12" t="s">
        <v>0</v>
      </c>
      <c r="Z63" s="12" t="s">
        <v>0</v>
      </c>
      <c r="AA63" s="12" t="s">
        <v>0</v>
      </c>
      <c r="AB63" s="12" t="s">
        <v>0</v>
      </c>
      <c r="AC63" s="12" t="s">
        <v>0</v>
      </c>
    </row>
    <row r="64" spans="1:29" ht="12.75" customHeight="1">
      <c r="A64" s="8"/>
      <c r="B64" s="10" t="s">
        <v>1</v>
      </c>
      <c r="C64" s="13" t="s">
        <v>2</v>
      </c>
      <c r="D64" s="10" t="s">
        <v>3</v>
      </c>
      <c r="E64" s="10" t="s">
        <v>4</v>
      </c>
      <c r="F64" s="10" t="s">
        <v>5</v>
      </c>
      <c r="G64" s="10" t="s">
        <v>6</v>
      </c>
      <c r="H64" s="10" t="s">
        <v>7</v>
      </c>
      <c r="I64" s="10" t="s">
        <v>8</v>
      </c>
      <c r="J64" s="10" t="s">
        <v>9</v>
      </c>
      <c r="K64" s="10" t="s">
        <v>10</v>
      </c>
      <c r="L64" s="10" t="s">
        <v>11</v>
      </c>
      <c r="M64" s="10" t="s">
        <v>12</v>
      </c>
      <c r="N64" s="10" t="s">
        <v>13</v>
      </c>
      <c r="O64" s="10" t="s">
        <v>14</v>
      </c>
      <c r="P64" s="10" t="s">
        <v>15</v>
      </c>
      <c r="Q64" s="10" t="s">
        <v>16</v>
      </c>
      <c r="R64" s="10" t="s">
        <v>17</v>
      </c>
      <c r="S64" s="14" t="s">
        <v>18</v>
      </c>
      <c r="T64" s="20" t="s">
        <v>19</v>
      </c>
      <c r="U64" s="14" t="s">
        <v>20</v>
      </c>
      <c r="V64" s="20" t="s">
        <v>21</v>
      </c>
      <c r="W64" s="14">
        <v>2002</v>
      </c>
      <c r="X64" s="18">
        <v>2003</v>
      </c>
      <c r="Y64" s="18">
        <v>2004</v>
      </c>
      <c r="Z64" s="18">
        <v>2005</v>
      </c>
      <c r="AA64" s="18">
        <v>2006</v>
      </c>
      <c r="AB64" s="18">
        <v>2007</v>
      </c>
      <c r="AC64" s="18">
        <v>2008</v>
      </c>
    </row>
    <row r="65" spans="1:29" ht="12.75" hidden="1" customHeight="1">
      <c r="A65" s="8"/>
      <c r="B65" s="10" t="s">
        <v>1</v>
      </c>
      <c r="C65" s="13" t="s">
        <v>2</v>
      </c>
      <c r="D65" s="10" t="s">
        <v>3</v>
      </c>
      <c r="E65" s="10" t="s">
        <v>4</v>
      </c>
      <c r="F65" s="10" t="s">
        <v>5</v>
      </c>
      <c r="G65" s="10" t="s">
        <v>6</v>
      </c>
      <c r="H65" s="10" t="s">
        <v>7</v>
      </c>
      <c r="I65" s="10" t="s">
        <v>8</v>
      </c>
      <c r="J65" s="10" t="s">
        <v>9</v>
      </c>
      <c r="K65" s="10" t="s">
        <v>10</v>
      </c>
      <c r="L65" s="10" t="s">
        <v>11</v>
      </c>
      <c r="M65" s="10" t="s">
        <v>12</v>
      </c>
      <c r="N65" s="2" t="s">
        <v>13</v>
      </c>
      <c r="O65" s="2" t="s">
        <v>14</v>
      </c>
      <c r="P65" s="2" t="s">
        <v>15</v>
      </c>
      <c r="Q65" s="2" t="s">
        <v>16</v>
      </c>
      <c r="R65" s="2" t="s">
        <v>17</v>
      </c>
      <c r="S65" s="14" t="s">
        <v>18</v>
      </c>
      <c r="T65" s="20" t="s">
        <v>19</v>
      </c>
      <c r="U65" s="14" t="s">
        <v>20</v>
      </c>
      <c r="V65" s="20" t="s">
        <v>21</v>
      </c>
      <c r="W65" s="14">
        <v>2002</v>
      </c>
      <c r="X65" s="18">
        <v>2003</v>
      </c>
      <c r="Y65" s="18">
        <v>2004</v>
      </c>
      <c r="Z65" s="18">
        <v>2005</v>
      </c>
      <c r="AA65" s="18">
        <v>2006</v>
      </c>
      <c r="AB65" s="18">
        <v>2006</v>
      </c>
      <c r="AC65" s="18">
        <v>2006</v>
      </c>
    </row>
    <row r="66" spans="1:29" ht="12.75" customHeight="1">
      <c r="A66" s="15"/>
      <c r="B66" s="29"/>
      <c r="C66" s="30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42"/>
      <c r="O66" s="42"/>
      <c r="P66" s="42"/>
      <c r="Q66" s="42"/>
      <c r="R66" s="42"/>
      <c r="S66" s="42"/>
      <c r="T66" s="43"/>
      <c r="U66" s="33"/>
      <c r="V66" s="32"/>
      <c r="W66" s="31"/>
    </row>
    <row r="67" spans="1:29" ht="38.1" customHeight="1">
      <c r="A67" s="16" t="s">
        <v>56</v>
      </c>
      <c r="B67" s="10"/>
      <c r="C67" s="11"/>
      <c r="N67" s="35"/>
      <c r="O67" s="35"/>
      <c r="P67" s="35"/>
      <c r="Q67" s="35"/>
      <c r="R67" s="35"/>
      <c r="S67" s="35"/>
      <c r="T67" s="36"/>
      <c r="U67" s="22"/>
      <c r="V67" s="19"/>
    </row>
    <row r="68" spans="1:29" ht="12.75" customHeight="1">
      <c r="A68" s="16"/>
      <c r="B68" s="10"/>
      <c r="C68" s="11"/>
      <c r="N68" s="35"/>
      <c r="O68" s="35"/>
      <c r="P68" s="35"/>
      <c r="Q68" s="35"/>
      <c r="R68" s="35"/>
      <c r="S68" s="35"/>
      <c r="T68" s="36"/>
      <c r="U68" s="22"/>
      <c r="V68" s="19"/>
    </row>
    <row r="69" spans="1:29" ht="12.75" customHeight="1">
      <c r="A69" s="7" t="s">
        <v>57</v>
      </c>
      <c r="B69" s="2">
        <v>164</v>
      </c>
      <c r="C69" s="34">
        <v>172</v>
      </c>
      <c r="D69" s="35">
        <v>127</v>
      </c>
      <c r="E69" s="35">
        <v>94</v>
      </c>
      <c r="F69" s="35">
        <v>134</v>
      </c>
      <c r="G69" s="35">
        <v>85</v>
      </c>
      <c r="H69" s="35">
        <v>73</v>
      </c>
      <c r="I69" s="35">
        <v>72</v>
      </c>
      <c r="J69" s="12">
        <v>53</v>
      </c>
      <c r="K69" s="35">
        <v>107</v>
      </c>
      <c r="L69" s="35">
        <v>90</v>
      </c>
      <c r="M69" s="35">
        <v>95</v>
      </c>
      <c r="N69" s="35">
        <v>88</v>
      </c>
      <c r="O69" s="35">
        <f>111+5</f>
        <v>116</v>
      </c>
      <c r="P69" s="35">
        <f>102+3</f>
        <v>105</v>
      </c>
      <c r="Q69" s="35">
        <v>95</v>
      </c>
      <c r="R69" s="35">
        <f>96+7</f>
        <v>103</v>
      </c>
      <c r="S69" s="35">
        <v>116</v>
      </c>
      <c r="T69" s="36">
        <f>113+2</f>
        <v>115</v>
      </c>
      <c r="U69" s="35">
        <f>166+1</f>
        <v>167</v>
      </c>
      <c r="V69" s="44">
        <f>156+7</f>
        <v>163</v>
      </c>
      <c r="W69" s="23">
        <f>128+3</f>
        <v>131</v>
      </c>
      <c r="X69" s="12">
        <v>152</v>
      </c>
      <c r="Y69" s="35">
        <v>132</v>
      </c>
      <c r="Z69" s="35">
        <v>154</v>
      </c>
      <c r="AA69" s="35">
        <v>138</v>
      </c>
      <c r="AB69" s="35">
        <v>114</v>
      </c>
      <c r="AC69" s="35">
        <v>183</v>
      </c>
    </row>
    <row r="70" spans="1:29" ht="12.75" hidden="1" customHeight="1">
      <c r="A70" s="7" t="s">
        <v>58</v>
      </c>
      <c r="B70" s="2">
        <v>22</v>
      </c>
      <c r="C70" s="34">
        <v>27</v>
      </c>
      <c r="D70" s="35">
        <v>36</v>
      </c>
      <c r="E70" s="12" t="s">
        <v>40</v>
      </c>
      <c r="F70" s="12" t="s">
        <v>40</v>
      </c>
      <c r="G70" s="12" t="s">
        <v>40</v>
      </c>
      <c r="H70" s="12" t="s">
        <v>40</v>
      </c>
      <c r="I70" s="12" t="s">
        <v>40</v>
      </c>
      <c r="J70" s="12" t="s">
        <v>40</v>
      </c>
      <c r="K70" s="12" t="s">
        <v>40</v>
      </c>
      <c r="L70" s="35" t="s">
        <v>40</v>
      </c>
      <c r="M70" s="35" t="s">
        <v>40</v>
      </c>
      <c r="N70" s="35" t="s">
        <v>40</v>
      </c>
      <c r="O70" s="35" t="s">
        <v>40</v>
      </c>
      <c r="P70" s="35" t="s">
        <v>40</v>
      </c>
      <c r="Q70" s="35" t="s">
        <v>40</v>
      </c>
      <c r="R70" s="35" t="s">
        <v>40</v>
      </c>
      <c r="S70" s="35" t="s">
        <v>40</v>
      </c>
      <c r="T70" s="36" t="s">
        <v>40</v>
      </c>
      <c r="U70" s="35" t="s">
        <v>40</v>
      </c>
      <c r="V70" s="36" t="s">
        <v>40</v>
      </c>
      <c r="W70" s="35" t="s">
        <v>40</v>
      </c>
      <c r="X70" s="35" t="s">
        <v>40</v>
      </c>
      <c r="Y70" s="35" t="s">
        <v>40</v>
      </c>
      <c r="Z70" s="35" t="s">
        <v>40</v>
      </c>
      <c r="AA70" s="35" t="s">
        <v>40</v>
      </c>
      <c r="AB70" s="35"/>
      <c r="AC70" s="35"/>
    </row>
    <row r="71" spans="1:29" ht="12.75" customHeight="1">
      <c r="A71" s="21" t="s">
        <v>98</v>
      </c>
      <c r="B71" s="2">
        <v>209</v>
      </c>
      <c r="C71" s="34">
        <v>161</v>
      </c>
      <c r="D71" s="35">
        <v>202</v>
      </c>
      <c r="E71" s="35">
        <v>212</v>
      </c>
      <c r="F71" s="35">
        <v>225</v>
      </c>
      <c r="G71" s="35">
        <v>225</v>
      </c>
      <c r="H71" s="35">
        <v>202</v>
      </c>
      <c r="I71" s="35">
        <v>205</v>
      </c>
      <c r="J71" s="35">
        <v>217</v>
      </c>
      <c r="K71" s="35">
        <v>230</v>
      </c>
      <c r="L71" s="35">
        <v>239</v>
      </c>
      <c r="M71" s="35">
        <v>210</v>
      </c>
      <c r="N71" s="35">
        <v>244</v>
      </c>
      <c r="O71" s="35">
        <v>206</v>
      </c>
      <c r="P71" s="35">
        <v>232</v>
      </c>
      <c r="Q71" s="35">
        <f>206+11</f>
        <v>217</v>
      </c>
      <c r="R71" s="35">
        <v>220</v>
      </c>
      <c r="S71" s="35">
        <v>202</v>
      </c>
      <c r="T71" s="36">
        <v>236</v>
      </c>
      <c r="U71" s="35">
        <v>199</v>
      </c>
      <c r="V71" s="44">
        <v>226</v>
      </c>
      <c r="W71" s="23">
        <v>210</v>
      </c>
      <c r="X71" s="12">
        <v>208</v>
      </c>
      <c r="Y71" s="35">
        <v>185</v>
      </c>
      <c r="Z71" s="35">
        <v>224</v>
      </c>
      <c r="AA71" s="35">
        <v>175</v>
      </c>
      <c r="AB71" s="35">
        <v>259</v>
      </c>
      <c r="AC71" s="35">
        <v>282</v>
      </c>
    </row>
    <row r="72" spans="1:29" ht="12.75" customHeight="1">
      <c r="A72" s="7" t="s">
        <v>59</v>
      </c>
      <c r="B72" s="2">
        <v>339</v>
      </c>
      <c r="C72" s="34">
        <v>131</v>
      </c>
      <c r="D72" s="35">
        <v>313</v>
      </c>
      <c r="E72" s="35">
        <v>318</v>
      </c>
      <c r="F72" s="35">
        <v>257</v>
      </c>
      <c r="G72" s="35">
        <v>89</v>
      </c>
      <c r="H72" s="35">
        <v>79</v>
      </c>
      <c r="I72" s="35">
        <v>48</v>
      </c>
      <c r="J72" s="35">
        <v>359</v>
      </c>
      <c r="K72" s="35">
        <v>440</v>
      </c>
      <c r="L72" s="35">
        <v>348</v>
      </c>
      <c r="M72" s="35">
        <v>271</v>
      </c>
      <c r="N72" s="35">
        <v>271</v>
      </c>
      <c r="O72" s="35">
        <v>295</v>
      </c>
      <c r="P72" s="35">
        <v>238</v>
      </c>
      <c r="Q72" s="35">
        <v>272</v>
      </c>
      <c r="R72" s="35">
        <v>255</v>
      </c>
      <c r="S72" s="35">
        <v>255</v>
      </c>
      <c r="T72" s="36">
        <v>232</v>
      </c>
      <c r="U72" s="35">
        <v>259</v>
      </c>
      <c r="V72" s="44">
        <v>275</v>
      </c>
      <c r="W72" s="23">
        <v>269</v>
      </c>
      <c r="X72" s="12">
        <v>254</v>
      </c>
      <c r="Y72" s="35">
        <v>268</v>
      </c>
      <c r="Z72" s="35">
        <v>241</v>
      </c>
      <c r="AA72" s="35">
        <v>251</v>
      </c>
      <c r="AB72" s="35">
        <v>253</v>
      </c>
      <c r="AC72" s="45">
        <v>237</v>
      </c>
    </row>
    <row r="73" spans="1:29" ht="12.75" customHeight="1">
      <c r="A73" s="7" t="s">
        <v>60</v>
      </c>
      <c r="B73" s="2">
        <v>211</v>
      </c>
      <c r="C73" s="34">
        <v>192</v>
      </c>
      <c r="D73" s="35">
        <v>173</v>
      </c>
      <c r="E73" s="35">
        <v>296</v>
      </c>
      <c r="F73" s="35">
        <v>222</v>
      </c>
      <c r="G73" s="35">
        <v>188</v>
      </c>
      <c r="H73" s="35">
        <v>228</v>
      </c>
      <c r="I73" s="35">
        <v>217</v>
      </c>
      <c r="J73" s="35">
        <v>204</v>
      </c>
      <c r="K73" s="35">
        <v>230</v>
      </c>
      <c r="L73" s="35">
        <f>143+69</f>
        <v>212</v>
      </c>
      <c r="M73" s="35">
        <f>179+166</f>
        <v>345</v>
      </c>
      <c r="N73" s="35">
        <v>411</v>
      </c>
      <c r="O73" s="35">
        <f>141+111</f>
        <v>252</v>
      </c>
      <c r="P73" s="35">
        <f>177+111</f>
        <v>288</v>
      </c>
      <c r="Q73" s="35">
        <f>184+309</f>
        <v>493</v>
      </c>
      <c r="R73" s="35">
        <f>132+111</f>
        <v>243</v>
      </c>
      <c r="S73" s="35">
        <v>216</v>
      </c>
      <c r="T73" s="36">
        <f>138+23</f>
        <v>161</v>
      </c>
      <c r="U73" s="35">
        <f>147+59</f>
        <v>206</v>
      </c>
      <c r="V73" s="44">
        <f>149+17</f>
        <v>166</v>
      </c>
      <c r="W73" s="23">
        <v>160</v>
      </c>
      <c r="X73" s="12">
        <f>141+16</f>
        <v>157</v>
      </c>
      <c r="Y73" s="35">
        <f>166+16</f>
        <v>182</v>
      </c>
      <c r="Z73" s="35">
        <f>151+12</f>
        <v>163</v>
      </c>
      <c r="AA73" s="35">
        <v>191</v>
      </c>
      <c r="AB73" s="35">
        <v>208</v>
      </c>
      <c r="AC73" s="45">
        <v>220</v>
      </c>
    </row>
    <row r="74" spans="1:29" ht="12.75" customHeight="1">
      <c r="A74" s="7" t="s">
        <v>61</v>
      </c>
      <c r="B74" s="2">
        <v>224</v>
      </c>
      <c r="C74" s="34">
        <v>193</v>
      </c>
      <c r="D74" s="35">
        <v>193</v>
      </c>
      <c r="E74" s="35">
        <v>175</v>
      </c>
      <c r="F74" s="35">
        <v>254</v>
      </c>
      <c r="G74" s="35">
        <v>271</v>
      </c>
      <c r="H74" s="35">
        <v>295</v>
      </c>
      <c r="I74" s="35">
        <v>351</v>
      </c>
      <c r="J74" s="35">
        <v>330</v>
      </c>
      <c r="K74" s="35">
        <v>296</v>
      </c>
      <c r="L74" s="35">
        <v>343</v>
      </c>
      <c r="M74" s="35">
        <v>287</v>
      </c>
      <c r="N74" s="35">
        <v>274</v>
      </c>
      <c r="O74" s="35">
        <f>279+2</f>
        <v>281</v>
      </c>
      <c r="P74" s="35">
        <v>262</v>
      </c>
      <c r="Q74" s="35">
        <v>276</v>
      </c>
      <c r="R74" s="35">
        <v>248</v>
      </c>
      <c r="S74" s="35">
        <v>213</v>
      </c>
      <c r="T74" s="36">
        <v>175</v>
      </c>
      <c r="U74" s="35">
        <v>214</v>
      </c>
      <c r="V74" s="44">
        <v>199</v>
      </c>
      <c r="W74" s="23">
        <v>224</v>
      </c>
      <c r="X74" s="35">
        <v>219</v>
      </c>
      <c r="Y74" s="35">
        <v>182</v>
      </c>
      <c r="Z74" s="35">
        <v>155</v>
      </c>
      <c r="AA74" s="35">
        <v>212</v>
      </c>
      <c r="AB74" s="35">
        <v>203</v>
      </c>
      <c r="AC74" s="45">
        <v>210</v>
      </c>
    </row>
    <row r="75" spans="1:29" ht="12.75" customHeight="1">
      <c r="A75" s="7" t="s">
        <v>62</v>
      </c>
      <c r="B75" s="2">
        <v>251</v>
      </c>
      <c r="C75" s="34">
        <v>224</v>
      </c>
      <c r="D75" s="35">
        <v>208</v>
      </c>
      <c r="E75" s="35">
        <v>299</v>
      </c>
      <c r="F75" s="35">
        <v>311</v>
      </c>
      <c r="G75" s="35">
        <v>305</v>
      </c>
      <c r="H75" s="35">
        <v>308</v>
      </c>
      <c r="I75" s="35">
        <v>346</v>
      </c>
      <c r="J75" s="35">
        <v>331</v>
      </c>
      <c r="K75" s="35">
        <v>320</v>
      </c>
      <c r="L75" s="35">
        <f>316+53</f>
        <v>369</v>
      </c>
      <c r="M75" s="35">
        <f>289+61</f>
        <v>350</v>
      </c>
      <c r="N75" s="35">
        <f>335+53</f>
        <v>388</v>
      </c>
      <c r="O75" s="35">
        <f>323+65</f>
        <v>388</v>
      </c>
      <c r="P75" s="35">
        <f>405+64</f>
        <v>469</v>
      </c>
      <c r="Q75" s="35">
        <f>388+55</f>
        <v>443</v>
      </c>
      <c r="R75" s="35">
        <f>405+34</f>
        <v>439</v>
      </c>
      <c r="S75" s="35">
        <f>392+36</f>
        <v>428</v>
      </c>
      <c r="T75" s="36">
        <f>44+414</f>
        <v>458</v>
      </c>
      <c r="U75" s="35">
        <f>378+34</f>
        <v>412</v>
      </c>
      <c r="V75" s="44">
        <f>380+41</f>
        <v>421</v>
      </c>
      <c r="W75" s="23">
        <f>435+59</f>
        <v>494</v>
      </c>
      <c r="X75" s="35">
        <f>428+49</f>
        <v>477</v>
      </c>
      <c r="Y75" s="35">
        <v>492</v>
      </c>
      <c r="Z75" s="35">
        <f>489+92</f>
        <v>581</v>
      </c>
      <c r="AA75" s="35">
        <v>513</v>
      </c>
      <c r="AB75" s="35">
        <v>534</v>
      </c>
      <c r="AC75" s="45">
        <v>489</v>
      </c>
    </row>
    <row r="76" spans="1:29" ht="12.75" customHeight="1">
      <c r="A76" s="7" t="s">
        <v>63</v>
      </c>
      <c r="B76" s="2">
        <v>498</v>
      </c>
      <c r="C76" s="34">
        <v>485</v>
      </c>
      <c r="D76" s="35">
        <v>440</v>
      </c>
      <c r="E76" s="35">
        <v>566</v>
      </c>
      <c r="F76" s="35">
        <v>423</v>
      </c>
      <c r="G76" s="35">
        <v>396</v>
      </c>
      <c r="H76" s="35">
        <v>398</v>
      </c>
      <c r="I76" s="35">
        <v>391</v>
      </c>
      <c r="J76" s="35">
        <v>411</v>
      </c>
      <c r="K76" s="35">
        <v>405</v>
      </c>
      <c r="L76" s="35" t="s">
        <v>39</v>
      </c>
      <c r="M76" s="35">
        <v>351</v>
      </c>
      <c r="N76" s="35" t="s">
        <v>39</v>
      </c>
      <c r="O76" s="35">
        <v>394</v>
      </c>
      <c r="P76" s="35">
        <v>383</v>
      </c>
      <c r="Q76" s="35">
        <v>405</v>
      </c>
      <c r="R76" s="35">
        <v>412</v>
      </c>
      <c r="S76" s="35">
        <v>406</v>
      </c>
      <c r="T76" s="36">
        <v>271</v>
      </c>
      <c r="U76" s="35">
        <f>453+13</f>
        <v>466</v>
      </c>
      <c r="V76" s="44">
        <v>402</v>
      </c>
      <c r="W76" s="23">
        <v>442</v>
      </c>
      <c r="X76" s="35">
        <v>442</v>
      </c>
      <c r="Y76" s="35">
        <v>423</v>
      </c>
      <c r="Z76" s="35">
        <v>423</v>
      </c>
      <c r="AA76" s="35">
        <v>367</v>
      </c>
      <c r="AB76" s="35">
        <v>344</v>
      </c>
      <c r="AC76" s="45">
        <v>338</v>
      </c>
    </row>
    <row r="77" spans="1:29" ht="12.75" customHeight="1">
      <c r="A77" s="7" t="s">
        <v>64</v>
      </c>
      <c r="B77" s="2">
        <v>140</v>
      </c>
      <c r="C77" s="34">
        <v>125</v>
      </c>
      <c r="D77" s="35">
        <v>132</v>
      </c>
      <c r="E77" s="35">
        <v>105</v>
      </c>
      <c r="F77" s="35">
        <v>87</v>
      </c>
      <c r="G77" s="35">
        <v>81</v>
      </c>
      <c r="H77" s="35">
        <v>85</v>
      </c>
      <c r="I77" s="35">
        <v>81</v>
      </c>
      <c r="J77" s="35">
        <v>92</v>
      </c>
      <c r="K77" s="35">
        <v>101</v>
      </c>
      <c r="L77" s="35">
        <v>117</v>
      </c>
      <c r="M77" s="35">
        <f>144+1</f>
        <v>145</v>
      </c>
      <c r="N77" s="35">
        <v>127</v>
      </c>
      <c r="O77" s="35">
        <v>110</v>
      </c>
      <c r="P77" s="35">
        <v>144</v>
      </c>
      <c r="Q77" s="35">
        <v>149</v>
      </c>
      <c r="R77" s="35">
        <v>172</v>
      </c>
      <c r="S77" s="35">
        <v>160</v>
      </c>
      <c r="T77" s="36">
        <f>144+2</f>
        <v>146</v>
      </c>
      <c r="U77" s="35">
        <f>164+3</f>
        <v>167</v>
      </c>
      <c r="V77" s="44">
        <f>154+23</f>
        <v>177</v>
      </c>
      <c r="W77" s="23">
        <f>183+7</f>
        <v>190</v>
      </c>
      <c r="X77" s="35">
        <f>194+11</f>
        <v>205</v>
      </c>
      <c r="Y77" s="35">
        <v>200</v>
      </c>
      <c r="Z77" s="35">
        <f>187+8</f>
        <v>195</v>
      </c>
      <c r="AA77" s="35">
        <v>198</v>
      </c>
      <c r="AB77" s="35">
        <v>200</v>
      </c>
      <c r="AC77" s="45">
        <v>191</v>
      </c>
    </row>
    <row r="78" spans="1:29" ht="12.75" customHeight="1">
      <c r="A78" s="7" t="s">
        <v>65</v>
      </c>
      <c r="B78" s="2">
        <v>124</v>
      </c>
      <c r="C78" s="34">
        <v>127</v>
      </c>
      <c r="D78" s="35">
        <v>164</v>
      </c>
      <c r="E78" s="35">
        <v>133</v>
      </c>
      <c r="F78" s="35">
        <v>107</v>
      </c>
      <c r="G78" s="35">
        <v>89</v>
      </c>
      <c r="H78" s="35">
        <v>128</v>
      </c>
      <c r="I78" s="35">
        <v>136</v>
      </c>
      <c r="J78" s="35">
        <v>105</v>
      </c>
      <c r="K78" s="35">
        <v>144</v>
      </c>
      <c r="L78" s="35">
        <f>93+19</f>
        <v>112</v>
      </c>
      <c r="M78" s="35">
        <f>172+24</f>
        <v>196</v>
      </c>
      <c r="N78" s="35">
        <f>137+15</f>
        <v>152</v>
      </c>
      <c r="O78" s="35">
        <v>100</v>
      </c>
      <c r="P78" s="35">
        <f>92+11</f>
        <v>103</v>
      </c>
      <c r="Q78" s="35">
        <v>109</v>
      </c>
      <c r="R78" s="35">
        <f>143+4</f>
        <v>147</v>
      </c>
      <c r="S78" s="35">
        <v>161</v>
      </c>
      <c r="T78" s="36">
        <v>128</v>
      </c>
      <c r="U78" s="35">
        <v>147</v>
      </c>
      <c r="V78" s="44">
        <f>165+4</f>
        <v>169</v>
      </c>
      <c r="W78" s="23">
        <v>171</v>
      </c>
      <c r="X78" s="35">
        <v>158</v>
      </c>
      <c r="Y78" s="35">
        <v>171</v>
      </c>
      <c r="Z78" s="35">
        <f>137+8</f>
        <v>145</v>
      </c>
      <c r="AA78" s="35">
        <v>132</v>
      </c>
      <c r="AB78" s="35">
        <v>143</v>
      </c>
      <c r="AC78" s="45">
        <v>198</v>
      </c>
    </row>
    <row r="79" spans="1:29" ht="12.75" customHeight="1">
      <c r="A79" s="7" t="s">
        <v>66</v>
      </c>
      <c r="B79" s="2">
        <v>538</v>
      </c>
      <c r="C79" s="34">
        <v>277</v>
      </c>
      <c r="D79" s="35">
        <v>364</v>
      </c>
      <c r="E79" s="35">
        <v>298</v>
      </c>
      <c r="F79" s="35">
        <v>356</v>
      </c>
      <c r="G79" s="35">
        <v>212</v>
      </c>
      <c r="H79" s="35">
        <v>124</v>
      </c>
      <c r="I79" s="35">
        <v>218</v>
      </c>
      <c r="J79" s="35">
        <v>465</v>
      </c>
      <c r="K79" s="35">
        <v>705</v>
      </c>
      <c r="L79" s="35">
        <f>354+21</f>
        <v>375</v>
      </c>
      <c r="M79" s="35">
        <v>359</v>
      </c>
      <c r="N79" s="35">
        <v>356</v>
      </c>
      <c r="O79" s="35">
        <v>407</v>
      </c>
      <c r="P79" s="35">
        <v>478</v>
      </c>
      <c r="Q79" s="35">
        <v>522</v>
      </c>
      <c r="R79" s="35">
        <v>625</v>
      </c>
      <c r="S79" s="35">
        <v>621</v>
      </c>
      <c r="T79" s="36">
        <v>583</v>
      </c>
      <c r="U79" s="35">
        <v>728</v>
      </c>
      <c r="V79" s="44">
        <v>568</v>
      </c>
      <c r="W79" s="23">
        <v>675</v>
      </c>
      <c r="X79" s="35">
        <v>784</v>
      </c>
      <c r="Y79" s="35">
        <v>917</v>
      </c>
      <c r="Z79" s="35">
        <v>821</v>
      </c>
      <c r="AA79" s="35">
        <v>940</v>
      </c>
      <c r="AB79" s="35">
        <v>884</v>
      </c>
      <c r="AC79" s="45">
        <v>1106</v>
      </c>
    </row>
    <row r="80" spans="1:29" ht="12.75" customHeight="1">
      <c r="A80" s="7" t="s">
        <v>67</v>
      </c>
      <c r="B80" s="2">
        <v>163</v>
      </c>
      <c r="C80" s="34">
        <v>178</v>
      </c>
      <c r="D80" s="35">
        <v>195</v>
      </c>
      <c r="E80" s="35">
        <v>136</v>
      </c>
      <c r="F80" s="35">
        <v>151</v>
      </c>
      <c r="G80" s="35">
        <v>146</v>
      </c>
      <c r="H80" s="35">
        <v>154</v>
      </c>
      <c r="I80" s="35">
        <v>152</v>
      </c>
      <c r="J80" s="35">
        <v>110</v>
      </c>
      <c r="K80" s="35">
        <v>158</v>
      </c>
      <c r="L80" s="35">
        <v>143</v>
      </c>
      <c r="M80" s="35">
        <f>130+31</f>
        <v>161</v>
      </c>
      <c r="N80" s="35">
        <v>183</v>
      </c>
      <c r="O80" s="35">
        <f>165+15</f>
        <v>180</v>
      </c>
      <c r="P80" s="35">
        <f>167+31</f>
        <v>198</v>
      </c>
      <c r="Q80" s="35">
        <f>187+28</f>
        <v>215</v>
      </c>
      <c r="R80" s="35">
        <f>224+29</f>
        <v>253</v>
      </c>
      <c r="S80" s="35">
        <f>225+27</f>
        <v>252</v>
      </c>
      <c r="T80" s="36">
        <f>198+23</f>
        <v>221</v>
      </c>
      <c r="U80" s="35">
        <f>231+30</f>
        <v>261</v>
      </c>
      <c r="V80" s="44">
        <f>247+21</f>
        <v>268</v>
      </c>
      <c r="W80" s="23">
        <f>280+23</f>
        <v>303</v>
      </c>
      <c r="X80" s="35">
        <f>318+17</f>
        <v>335</v>
      </c>
      <c r="Y80" s="35">
        <v>324</v>
      </c>
      <c r="Z80" s="35">
        <f>322+13</f>
        <v>335</v>
      </c>
      <c r="AA80" s="35">
        <v>307</v>
      </c>
      <c r="AB80" s="35">
        <v>303</v>
      </c>
      <c r="AC80" s="45">
        <v>339</v>
      </c>
    </row>
    <row r="81" spans="1:29" ht="12.75" customHeight="1">
      <c r="A81" s="7" t="s">
        <v>68</v>
      </c>
      <c r="B81" s="2">
        <v>45</v>
      </c>
      <c r="C81" s="34">
        <v>54</v>
      </c>
      <c r="D81" s="35">
        <v>144</v>
      </c>
      <c r="E81" s="35">
        <v>194</v>
      </c>
      <c r="F81" s="35">
        <v>76</v>
      </c>
      <c r="G81" s="35">
        <v>76</v>
      </c>
      <c r="H81" s="35">
        <v>117</v>
      </c>
      <c r="I81" s="35">
        <v>172</v>
      </c>
      <c r="J81" s="35">
        <v>172</v>
      </c>
      <c r="K81" s="35">
        <v>85</v>
      </c>
      <c r="L81" s="35">
        <v>84</v>
      </c>
      <c r="M81" s="35">
        <v>98</v>
      </c>
      <c r="N81" s="35">
        <v>91</v>
      </c>
      <c r="O81" s="35">
        <v>113</v>
      </c>
      <c r="P81" s="35">
        <v>173</v>
      </c>
      <c r="Q81" s="35">
        <f>127+4</f>
        <v>131</v>
      </c>
      <c r="R81" s="35">
        <f>119+3</f>
        <v>122</v>
      </c>
      <c r="S81" s="35">
        <v>114</v>
      </c>
      <c r="T81" s="36">
        <f>164+3</f>
        <v>167</v>
      </c>
      <c r="U81" s="35">
        <v>169</v>
      </c>
      <c r="V81" s="44">
        <v>166</v>
      </c>
      <c r="W81" s="23">
        <v>150</v>
      </c>
      <c r="X81" s="35">
        <f>194+16</f>
        <v>210</v>
      </c>
      <c r="Y81" s="35">
        <v>214</v>
      </c>
      <c r="Z81" s="35">
        <v>215</v>
      </c>
      <c r="AA81" s="35">
        <v>176</v>
      </c>
      <c r="AB81" s="35">
        <v>179</v>
      </c>
      <c r="AC81" s="45">
        <v>188</v>
      </c>
    </row>
    <row r="82" spans="1:29" ht="12.75" customHeight="1">
      <c r="A82" s="7" t="s">
        <v>69</v>
      </c>
      <c r="B82" s="2">
        <v>178</v>
      </c>
      <c r="C82" s="34">
        <v>161</v>
      </c>
      <c r="D82" s="35">
        <v>142</v>
      </c>
      <c r="E82" s="35">
        <v>152</v>
      </c>
      <c r="F82" s="35">
        <v>230</v>
      </c>
      <c r="G82" s="35">
        <v>303</v>
      </c>
      <c r="H82" s="35">
        <v>327</v>
      </c>
      <c r="I82" s="35">
        <v>382</v>
      </c>
      <c r="J82" s="35">
        <v>402</v>
      </c>
      <c r="K82" s="35">
        <v>316</v>
      </c>
      <c r="L82" s="35">
        <v>340</v>
      </c>
      <c r="M82" s="35">
        <v>376</v>
      </c>
      <c r="N82" s="35">
        <f>315+5</f>
        <v>320</v>
      </c>
      <c r="O82" s="35">
        <v>409</v>
      </c>
      <c r="P82" s="35">
        <v>421</v>
      </c>
      <c r="Q82" s="35">
        <v>458</v>
      </c>
      <c r="R82" s="35">
        <f>424+3</f>
        <v>427</v>
      </c>
      <c r="S82" s="35">
        <f>461+3</f>
        <v>464</v>
      </c>
      <c r="T82" s="36">
        <v>474</v>
      </c>
      <c r="U82" s="35">
        <v>436</v>
      </c>
      <c r="V82" s="44">
        <v>414</v>
      </c>
      <c r="W82" s="23">
        <v>430</v>
      </c>
      <c r="X82" s="35">
        <v>403</v>
      </c>
      <c r="Y82" s="35">
        <v>378</v>
      </c>
      <c r="Z82" s="35">
        <f>359+3</f>
        <v>362</v>
      </c>
      <c r="AA82" s="35">
        <v>375</v>
      </c>
      <c r="AB82" s="35">
        <v>444</v>
      </c>
      <c r="AC82" s="45">
        <v>423</v>
      </c>
    </row>
    <row r="83" spans="1:29" ht="12.75" customHeight="1">
      <c r="A83" s="7" t="s">
        <v>70</v>
      </c>
      <c r="B83" s="2">
        <v>114</v>
      </c>
      <c r="C83" s="34">
        <v>136</v>
      </c>
      <c r="D83" s="35">
        <v>150</v>
      </c>
      <c r="E83" s="35">
        <v>121</v>
      </c>
      <c r="F83" s="35">
        <v>158</v>
      </c>
      <c r="G83" s="35">
        <v>91</v>
      </c>
      <c r="H83" s="35">
        <v>87</v>
      </c>
      <c r="I83" s="35">
        <v>78</v>
      </c>
      <c r="J83" s="35">
        <v>104</v>
      </c>
      <c r="K83" s="35">
        <v>97</v>
      </c>
      <c r="L83" s="35">
        <v>65</v>
      </c>
      <c r="M83" s="35">
        <f>61+34</f>
        <v>95</v>
      </c>
      <c r="N83" s="35">
        <f>97+21</f>
        <v>118</v>
      </c>
      <c r="O83" s="35">
        <f>98+17</f>
        <v>115</v>
      </c>
      <c r="P83" s="35">
        <f>115+29</f>
        <v>144</v>
      </c>
      <c r="Q83" s="35">
        <f>117+4</f>
        <v>121</v>
      </c>
      <c r="R83" s="35">
        <f>106+9</f>
        <v>115</v>
      </c>
      <c r="S83" s="35">
        <f>107+9</f>
        <v>116</v>
      </c>
      <c r="T83" s="36">
        <f>139+6</f>
        <v>145</v>
      </c>
      <c r="U83" s="35">
        <v>150</v>
      </c>
      <c r="V83" s="44">
        <f>132+9</f>
        <v>141</v>
      </c>
      <c r="W83" s="23">
        <v>159</v>
      </c>
      <c r="X83" s="35">
        <v>100</v>
      </c>
      <c r="Y83" s="35">
        <v>127</v>
      </c>
      <c r="Z83" s="35">
        <f>131+11</f>
        <v>142</v>
      </c>
      <c r="AA83" s="35">
        <v>194</v>
      </c>
      <c r="AB83" s="35">
        <v>175</v>
      </c>
      <c r="AC83" s="45">
        <v>257</v>
      </c>
    </row>
    <row r="84" spans="1:29" ht="12.75" customHeight="1">
      <c r="A84" s="7" t="s">
        <v>71</v>
      </c>
      <c r="B84" s="2">
        <v>409</v>
      </c>
      <c r="C84" s="34">
        <v>398</v>
      </c>
      <c r="D84" s="35">
        <v>409</v>
      </c>
      <c r="E84" s="35">
        <v>373</v>
      </c>
      <c r="F84" s="35">
        <v>350</v>
      </c>
      <c r="G84" s="35">
        <v>304</v>
      </c>
      <c r="H84" s="35">
        <v>245</v>
      </c>
      <c r="I84" s="35">
        <v>299</v>
      </c>
      <c r="J84" s="35">
        <v>308</v>
      </c>
      <c r="K84" s="35">
        <v>265</v>
      </c>
      <c r="L84" s="35">
        <f>228+7</f>
        <v>235</v>
      </c>
      <c r="M84" s="35">
        <v>199</v>
      </c>
      <c r="N84" s="35">
        <v>355</v>
      </c>
      <c r="O84" s="35">
        <v>373</v>
      </c>
      <c r="P84" s="35">
        <v>289</v>
      </c>
      <c r="Q84" s="35">
        <v>368</v>
      </c>
      <c r="R84" s="35">
        <f>319+4</f>
        <v>323</v>
      </c>
      <c r="S84" s="35">
        <v>285</v>
      </c>
      <c r="T84" s="36">
        <f>303+6</f>
        <v>309</v>
      </c>
      <c r="U84" s="35">
        <v>272</v>
      </c>
      <c r="V84" s="44">
        <f>295+3</f>
        <v>298</v>
      </c>
      <c r="W84" s="23">
        <v>214</v>
      </c>
      <c r="X84" s="35">
        <v>245</v>
      </c>
      <c r="Y84" s="35">
        <v>305</v>
      </c>
      <c r="Z84" s="35">
        <v>371</v>
      </c>
      <c r="AA84" s="35">
        <v>396</v>
      </c>
      <c r="AB84" s="35">
        <v>369</v>
      </c>
      <c r="AC84" s="45">
        <v>358</v>
      </c>
    </row>
    <row r="85" spans="1:29" ht="12.75" customHeight="1">
      <c r="A85" s="6" t="s">
        <v>72</v>
      </c>
      <c r="B85" s="2">
        <v>820</v>
      </c>
      <c r="C85" s="34">
        <v>766</v>
      </c>
      <c r="D85" s="35">
        <v>767</v>
      </c>
      <c r="E85" s="35">
        <v>928</v>
      </c>
      <c r="F85" s="35">
        <v>781</v>
      </c>
      <c r="G85" s="35">
        <v>639</v>
      </c>
      <c r="H85" s="35">
        <v>726</v>
      </c>
      <c r="I85" s="35">
        <v>905</v>
      </c>
      <c r="J85" s="35">
        <v>928</v>
      </c>
      <c r="K85" s="35">
        <v>869</v>
      </c>
      <c r="L85" s="35">
        <f>774+13</f>
        <v>787</v>
      </c>
      <c r="M85" s="35">
        <f>907+6</f>
        <v>913</v>
      </c>
      <c r="N85" s="35">
        <v>956</v>
      </c>
      <c r="O85" s="35">
        <f>969+13</f>
        <v>982</v>
      </c>
      <c r="P85" s="35">
        <f>945+17</f>
        <v>962</v>
      </c>
      <c r="Q85" s="35">
        <f>969+7</f>
        <v>976</v>
      </c>
      <c r="R85" s="35">
        <f>1119+8</f>
        <v>1127</v>
      </c>
      <c r="S85" s="35">
        <f>1274+13</f>
        <v>1287</v>
      </c>
      <c r="T85" s="36">
        <v>1285</v>
      </c>
      <c r="U85" s="35">
        <f>1405+3</f>
        <v>1408</v>
      </c>
      <c r="V85" s="36">
        <v>1335</v>
      </c>
      <c r="W85" s="35">
        <f>1409+2</f>
        <v>1411</v>
      </c>
      <c r="X85" s="35">
        <f>1377+5</f>
        <v>1382</v>
      </c>
      <c r="Y85" s="35">
        <v>1456</v>
      </c>
      <c r="Z85" s="35">
        <v>1529</v>
      </c>
      <c r="AA85" s="35">
        <v>1571</v>
      </c>
      <c r="AB85" s="35">
        <v>1610</v>
      </c>
      <c r="AC85" s="45">
        <v>1630</v>
      </c>
    </row>
    <row r="86" spans="1:29" ht="12.75" customHeight="1">
      <c r="A86" s="7" t="s">
        <v>73</v>
      </c>
      <c r="B86" s="2">
        <v>335</v>
      </c>
      <c r="C86" s="34">
        <v>501</v>
      </c>
      <c r="D86" s="35">
        <v>382</v>
      </c>
      <c r="E86" s="35">
        <v>428</v>
      </c>
      <c r="F86" s="35">
        <v>440</v>
      </c>
      <c r="G86" s="35">
        <v>614</v>
      </c>
      <c r="H86" s="35">
        <v>591</v>
      </c>
      <c r="I86" s="35">
        <v>641</v>
      </c>
      <c r="J86" s="35">
        <v>423</v>
      </c>
      <c r="K86" s="35">
        <v>446</v>
      </c>
      <c r="L86" s="35">
        <v>290</v>
      </c>
      <c r="M86" s="35">
        <f>428+7</f>
        <v>435</v>
      </c>
      <c r="N86" s="35">
        <f>397+13</f>
        <v>410</v>
      </c>
      <c r="O86" s="35">
        <f>358+49</f>
        <v>407</v>
      </c>
      <c r="P86" s="35">
        <f>437+35</f>
        <v>472</v>
      </c>
      <c r="Q86" s="35">
        <f>323+9</f>
        <v>332</v>
      </c>
      <c r="R86" s="35">
        <f>412+4</f>
        <v>416</v>
      </c>
      <c r="S86" s="35">
        <v>462</v>
      </c>
      <c r="T86" s="36">
        <f>436+6</f>
        <v>442</v>
      </c>
      <c r="U86" s="35">
        <f>402+4</f>
        <v>406</v>
      </c>
      <c r="V86" s="44">
        <f>416+8</f>
        <v>424</v>
      </c>
      <c r="W86" s="23">
        <f>279+100</f>
        <v>379</v>
      </c>
      <c r="X86" s="35">
        <f>309+148</f>
        <v>457</v>
      </c>
      <c r="Y86" s="35">
        <v>350</v>
      </c>
      <c r="Z86" s="12">
        <v>335</v>
      </c>
      <c r="AA86" s="12">
        <v>416</v>
      </c>
      <c r="AB86" s="12">
        <v>377</v>
      </c>
      <c r="AC86" s="45">
        <v>427</v>
      </c>
    </row>
    <row r="87" spans="1:29" ht="12.75" customHeight="1">
      <c r="A87" s="7" t="s">
        <v>74</v>
      </c>
      <c r="B87" s="2">
        <v>382</v>
      </c>
      <c r="C87" s="34">
        <v>371</v>
      </c>
      <c r="D87" s="35">
        <v>333</v>
      </c>
      <c r="E87" s="35">
        <v>275</v>
      </c>
      <c r="F87" s="35">
        <v>267</v>
      </c>
      <c r="G87" s="35">
        <v>334</v>
      </c>
      <c r="H87" s="35">
        <v>275</v>
      </c>
      <c r="I87" s="35">
        <v>287</v>
      </c>
      <c r="J87" s="35">
        <v>234</v>
      </c>
      <c r="K87" s="35">
        <v>223</v>
      </c>
      <c r="L87" s="35">
        <v>202</v>
      </c>
      <c r="M87" s="35">
        <v>204</v>
      </c>
      <c r="N87" s="35">
        <v>204</v>
      </c>
      <c r="O87" s="35">
        <f>187+4</f>
        <v>191</v>
      </c>
      <c r="P87" s="35">
        <v>173</v>
      </c>
      <c r="Q87" s="35">
        <v>164</v>
      </c>
      <c r="R87" s="35">
        <v>91</v>
      </c>
      <c r="S87" s="35">
        <v>110</v>
      </c>
      <c r="T87" s="36">
        <v>128</v>
      </c>
      <c r="U87" s="35">
        <v>134</v>
      </c>
      <c r="V87" s="44">
        <v>128</v>
      </c>
      <c r="W87" s="23">
        <v>122</v>
      </c>
      <c r="X87" s="35">
        <v>139</v>
      </c>
      <c r="Y87" s="35">
        <v>157</v>
      </c>
      <c r="Z87" s="12">
        <v>203</v>
      </c>
      <c r="AA87" s="12">
        <v>225</v>
      </c>
      <c r="AB87" s="12">
        <v>225</v>
      </c>
      <c r="AC87" s="45">
        <v>223</v>
      </c>
    </row>
    <row r="88" spans="1:29" ht="12.75" hidden="1" customHeight="1">
      <c r="A88" s="7" t="s">
        <v>75</v>
      </c>
      <c r="B88" s="2">
        <v>151</v>
      </c>
      <c r="C88" s="34">
        <v>157</v>
      </c>
      <c r="D88" s="35">
        <v>201</v>
      </c>
      <c r="E88" s="35">
        <v>193</v>
      </c>
      <c r="F88" s="35">
        <v>244</v>
      </c>
      <c r="G88" s="35">
        <v>278</v>
      </c>
      <c r="H88" s="35">
        <v>268</v>
      </c>
      <c r="I88" s="35">
        <v>253</v>
      </c>
      <c r="J88" s="35">
        <v>173</v>
      </c>
      <c r="K88" s="35">
        <v>114</v>
      </c>
      <c r="L88" s="12" t="s">
        <v>40</v>
      </c>
      <c r="M88" s="35" t="s">
        <v>40</v>
      </c>
      <c r="N88" s="35" t="s">
        <v>40</v>
      </c>
      <c r="O88" s="35" t="s">
        <v>40</v>
      </c>
      <c r="P88" s="35" t="s">
        <v>40</v>
      </c>
      <c r="Q88" s="35" t="s">
        <v>40</v>
      </c>
      <c r="R88" s="35" t="s">
        <v>40</v>
      </c>
      <c r="S88" s="35" t="s">
        <v>40</v>
      </c>
      <c r="T88" s="36" t="s">
        <v>40</v>
      </c>
      <c r="U88" s="35" t="s">
        <v>40</v>
      </c>
      <c r="V88" s="36" t="s">
        <v>40</v>
      </c>
      <c r="W88" s="35" t="s">
        <v>40</v>
      </c>
      <c r="X88" s="35" t="s">
        <v>40</v>
      </c>
      <c r="Y88" s="35" t="s">
        <v>40</v>
      </c>
      <c r="Z88" s="35" t="s">
        <v>40</v>
      </c>
      <c r="AA88" s="35" t="s">
        <v>40</v>
      </c>
      <c r="AB88" s="35"/>
      <c r="AC88" s="35"/>
    </row>
    <row r="89" spans="1:29" ht="12.75" customHeight="1">
      <c r="A89" s="7" t="s">
        <v>76</v>
      </c>
      <c r="B89" s="2">
        <v>1071</v>
      </c>
      <c r="C89" s="34">
        <v>1021</v>
      </c>
      <c r="D89" s="35">
        <v>1157</v>
      </c>
      <c r="E89" s="35">
        <v>986</v>
      </c>
      <c r="F89" s="35">
        <v>1039</v>
      </c>
      <c r="G89" s="35">
        <v>1038</v>
      </c>
      <c r="H89" s="35">
        <v>1297</v>
      </c>
      <c r="I89" s="35">
        <v>1215</v>
      </c>
      <c r="J89" s="35">
        <v>1190</v>
      </c>
      <c r="K89" s="35">
        <v>1227</v>
      </c>
      <c r="L89" s="35">
        <f>1171+11</f>
        <v>1182</v>
      </c>
      <c r="M89" s="35">
        <f>1094+10</f>
        <v>1104</v>
      </c>
      <c r="N89" s="35">
        <f>1240+14</f>
        <v>1254</v>
      </c>
      <c r="O89" s="35">
        <f>1255+2</f>
        <v>1257</v>
      </c>
      <c r="P89" s="35">
        <v>1184</v>
      </c>
      <c r="Q89" s="35">
        <v>1296</v>
      </c>
      <c r="R89" s="35">
        <f>1231+9</f>
        <v>1240</v>
      </c>
      <c r="S89" s="35">
        <f>1468+8</f>
        <v>1476</v>
      </c>
      <c r="T89" s="36">
        <f>1372+12</f>
        <v>1384</v>
      </c>
      <c r="U89" s="35">
        <f>1398+24</f>
        <v>1422</v>
      </c>
      <c r="V89" s="36">
        <f>1264+8</f>
        <v>1272</v>
      </c>
      <c r="W89" s="35">
        <v>1342</v>
      </c>
      <c r="X89" s="35">
        <f>1349+18</f>
        <v>1367</v>
      </c>
      <c r="Y89" s="35">
        <f>1440+12</f>
        <v>1452</v>
      </c>
      <c r="Z89" s="35">
        <f>1376+12</f>
        <v>1388</v>
      </c>
      <c r="AA89" s="35">
        <v>1470</v>
      </c>
      <c r="AB89" s="35">
        <v>1338</v>
      </c>
      <c r="AC89" s="46">
        <v>1426</v>
      </c>
    </row>
    <row r="90" spans="1:29" ht="12.75" customHeight="1">
      <c r="A90" s="7" t="s">
        <v>77</v>
      </c>
      <c r="B90" s="2">
        <v>131</v>
      </c>
      <c r="C90" s="34">
        <v>133</v>
      </c>
      <c r="D90" s="35">
        <v>108</v>
      </c>
      <c r="E90" s="35">
        <v>94</v>
      </c>
      <c r="F90" s="35">
        <v>113</v>
      </c>
      <c r="G90" s="35">
        <v>118</v>
      </c>
      <c r="H90" s="35" t="s">
        <v>39</v>
      </c>
      <c r="I90" s="35">
        <v>185</v>
      </c>
      <c r="J90" s="35">
        <v>212</v>
      </c>
      <c r="K90" s="35">
        <v>227</v>
      </c>
      <c r="L90" s="35">
        <f>192+12</f>
        <v>204</v>
      </c>
      <c r="M90" s="35">
        <v>208</v>
      </c>
      <c r="N90" s="35">
        <v>226</v>
      </c>
      <c r="O90" s="35">
        <f>195+6</f>
        <v>201</v>
      </c>
      <c r="P90" s="35">
        <f>221+55</f>
        <v>276</v>
      </c>
      <c r="Q90" s="35">
        <v>277</v>
      </c>
      <c r="R90" s="35">
        <f>323+39</f>
        <v>362</v>
      </c>
      <c r="S90" s="35">
        <f>338+27</f>
        <v>365</v>
      </c>
      <c r="T90" s="36">
        <f>367+37</f>
        <v>404</v>
      </c>
      <c r="U90" s="35">
        <f>415+51</f>
        <v>466</v>
      </c>
      <c r="V90" s="44">
        <f>387+64</f>
        <v>451</v>
      </c>
      <c r="W90" s="23">
        <f>381+71</f>
        <v>452</v>
      </c>
      <c r="X90" s="35">
        <f>419+18</f>
        <v>437</v>
      </c>
      <c r="Y90" s="35">
        <v>466</v>
      </c>
      <c r="Z90" s="12">
        <f>393+14</f>
        <v>407</v>
      </c>
      <c r="AA90" s="12">
        <v>429</v>
      </c>
      <c r="AB90" s="12">
        <v>498</v>
      </c>
      <c r="AC90" s="46">
        <v>419</v>
      </c>
    </row>
    <row r="91" spans="1:29" ht="12.75" customHeight="1">
      <c r="A91" s="7" t="s">
        <v>78</v>
      </c>
      <c r="B91" s="2">
        <v>226</v>
      </c>
      <c r="C91" s="34">
        <v>180</v>
      </c>
      <c r="D91" s="35">
        <v>192</v>
      </c>
      <c r="E91" s="35">
        <v>165</v>
      </c>
      <c r="F91" s="35">
        <v>199</v>
      </c>
      <c r="G91" s="35">
        <v>197</v>
      </c>
      <c r="H91" s="35">
        <v>181</v>
      </c>
      <c r="I91" s="35">
        <v>183</v>
      </c>
      <c r="J91" s="35">
        <v>240</v>
      </c>
      <c r="K91" s="35">
        <v>238</v>
      </c>
      <c r="L91" s="12">
        <v>195</v>
      </c>
      <c r="M91" s="35">
        <f>193+12</f>
        <v>205</v>
      </c>
      <c r="N91" s="35">
        <v>181</v>
      </c>
      <c r="O91" s="35">
        <v>165</v>
      </c>
      <c r="P91" s="35">
        <v>190</v>
      </c>
      <c r="Q91" s="35">
        <v>215</v>
      </c>
      <c r="R91" s="35">
        <v>190</v>
      </c>
      <c r="S91" s="35">
        <v>205</v>
      </c>
      <c r="T91" s="36">
        <v>201</v>
      </c>
      <c r="U91" s="35">
        <v>173</v>
      </c>
      <c r="V91" s="44">
        <v>250</v>
      </c>
      <c r="W91" s="23">
        <v>208</v>
      </c>
      <c r="X91" s="35">
        <v>240</v>
      </c>
      <c r="Y91" s="35">
        <v>231</v>
      </c>
      <c r="Z91" s="12">
        <v>270</v>
      </c>
      <c r="AA91" s="12">
        <v>279</v>
      </c>
      <c r="AB91" s="12">
        <v>224</v>
      </c>
      <c r="AC91" s="46">
        <v>244</v>
      </c>
    </row>
    <row r="92" spans="1:29" ht="12.75" customHeight="1">
      <c r="A92" s="7" t="s">
        <v>79</v>
      </c>
      <c r="B92" s="2">
        <v>422</v>
      </c>
      <c r="C92" s="34">
        <v>303</v>
      </c>
      <c r="D92" s="35">
        <v>437</v>
      </c>
      <c r="E92" s="35">
        <v>449</v>
      </c>
      <c r="F92" s="35">
        <v>444</v>
      </c>
      <c r="G92" s="35">
        <v>455</v>
      </c>
      <c r="H92" s="35">
        <v>366</v>
      </c>
      <c r="I92" s="35">
        <v>377</v>
      </c>
      <c r="J92" s="35">
        <v>476</v>
      </c>
      <c r="K92" s="35">
        <v>477</v>
      </c>
      <c r="L92" s="12">
        <f>306+17</f>
        <v>323</v>
      </c>
      <c r="M92" s="35">
        <f>354+8</f>
        <v>362</v>
      </c>
      <c r="N92" s="35">
        <v>319</v>
      </c>
      <c r="O92" s="35">
        <f>315+15</f>
        <v>330</v>
      </c>
      <c r="P92" s="35">
        <f>278+10</f>
        <v>288</v>
      </c>
      <c r="Q92" s="35">
        <f>268+16</f>
        <v>284</v>
      </c>
      <c r="R92" s="35">
        <f>279+20</f>
        <v>299</v>
      </c>
      <c r="S92" s="35">
        <f>315+10</f>
        <v>325</v>
      </c>
      <c r="T92" s="36">
        <f>286+18</f>
        <v>304</v>
      </c>
      <c r="U92" s="35">
        <v>309</v>
      </c>
      <c r="V92" s="44">
        <f>242+8</f>
        <v>250</v>
      </c>
      <c r="W92" s="23">
        <v>351</v>
      </c>
      <c r="X92" s="35">
        <v>358</v>
      </c>
      <c r="Y92" s="35">
        <v>286</v>
      </c>
      <c r="Z92" s="12">
        <v>278</v>
      </c>
      <c r="AA92" s="12">
        <v>248</v>
      </c>
      <c r="AB92" s="12">
        <v>288</v>
      </c>
      <c r="AC92" s="46">
        <v>265</v>
      </c>
    </row>
    <row r="93" spans="1:29" ht="12.75" customHeight="1">
      <c r="A93" s="7" t="s">
        <v>80</v>
      </c>
      <c r="B93" s="2">
        <v>241</v>
      </c>
      <c r="C93" s="34">
        <v>215</v>
      </c>
      <c r="D93" s="35">
        <v>194</v>
      </c>
      <c r="E93" s="35">
        <v>221</v>
      </c>
      <c r="F93" s="35">
        <v>226</v>
      </c>
      <c r="G93" s="35">
        <v>249</v>
      </c>
      <c r="H93" s="35">
        <v>239</v>
      </c>
      <c r="I93" s="35">
        <v>230</v>
      </c>
      <c r="J93" s="12">
        <v>205</v>
      </c>
      <c r="K93" s="35">
        <v>215</v>
      </c>
      <c r="L93" s="12">
        <v>187</v>
      </c>
      <c r="M93" s="35">
        <f>214+7</f>
        <v>221</v>
      </c>
      <c r="N93" s="35">
        <v>211</v>
      </c>
      <c r="O93" s="35">
        <v>137</v>
      </c>
      <c r="P93" s="35">
        <f>141+2</f>
        <v>143</v>
      </c>
      <c r="Q93" s="35">
        <f>98+6</f>
        <v>104</v>
      </c>
      <c r="R93" s="35">
        <v>167</v>
      </c>
      <c r="S93" s="35">
        <f>153+6</f>
        <v>159</v>
      </c>
      <c r="T93" s="36">
        <v>130</v>
      </c>
      <c r="U93" s="35">
        <f>152+6</f>
        <v>158</v>
      </c>
      <c r="V93" s="44">
        <f>181+3</f>
        <v>184</v>
      </c>
      <c r="W93" s="23">
        <v>208</v>
      </c>
      <c r="X93" s="35">
        <f>199+14</f>
        <v>213</v>
      </c>
      <c r="Y93" s="35">
        <v>196</v>
      </c>
      <c r="Z93" s="12">
        <v>230</v>
      </c>
      <c r="AA93" s="12">
        <v>197</v>
      </c>
      <c r="AB93" s="12">
        <v>186</v>
      </c>
      <c r="AC93" s="46">
        <v>151</v>
      </c>
    </row>
    <row r="94" spans="1:29" ht="12.75" customHeight="1">
      <c r="A94" s="7" t="s">
        <v>33</v>
      </c>
      <c r="B94" s="2">
        <f t="shared" ref="B94:AB94" si="4">SUM(B69:B93)</f>
        <v>7408</v>
      </c>
      <c r="C94" s="37">
        <f t="shared" si="4"/>
        <v>6688</v>
      </c>
      <c r="D94" s="2">
        <f t="shared" si="4"/>
        <v>7163</v>
      </c>
      <c r="E94" s="2">
        <f t="shared" si="4"/>
        <v>7211</v>
      </c>
      <c r="F94" s="2">
        <f t="shared" si="4"/>
        <v>7094</v>
      </c>
      <c r="G94" s="2">
        <f t="shared" si="4"/>
        <v>6783</v>
      </c>
      <c r="H94" s="2">
        <f t="shared" si="4"/>
        <v>6793</v>
      </c>
      <c r="I94" s="2">
        <f t="shared" si="4"/>
        <v>7424</v>
      </c>
      <c r="J94" s="2">
        <f t="shared" si="4"/>
        <v>7744</v>
      </c>
      <c r="K94" s="2">
        <f t="shared" si="4"/>
        <v>7935</v>
      </c>
      <c r="L94" s="2">
        <f t="shared" si="4"/>
        <v>6442</v>
      </c>
      <c r="M94" s="2">
        <f t="shared" si="4"/>
        <v>7190</v>
      </c>
      <c r="N94" s="2">
        <f t="shared" si="4"/>
        <v>7139</v>
      </c>
      <c r="O94" s="2">
        <f t="shared" si="4"/>
        <v>7409</v>
      </c>
      <c r="P94" s="2">
        <f t="shared" si="4"/>
        <v>7615</v>
      </c>
      <c r="Q94" s="2">
        <f t="shared" si="4"/>
        <v>7922</v>
      </c>
      <c r="R94" s="2">
        <f t="shared" si="4"/>
        <v>7996</v>
      </c>
      <c r="S94" s="2">
        <f t="shared" si="4"/>
        <v>8398</v>
      </c>
      <c r="T94" s="38">
        <f t="shared" si="4"/>
        <v>8099</v>
      </c>
      <c r="U94" s="2">
        <f t="shared" si="4"/>
        <v>8729</v>
      </c>
      <c r="V94" s="38">
        <f t="shared" si="4"/>
        <v>8347</v>
      </c>
      <c r="W94" s="2">
        <f t="shared" si="4"/>
        <v>8695</v>
      </c>
      <c r="X94" s="2">
        <f t="shared" si="4"/>
        <v>8942</v>
      </c>
      <c r="Y94" s="2">
        <f t="shared" si="4"/>
        <v>9094</v>
      </c>
      <c r="Z94" s="2">
        <f t="shared" si="4"/>
        <v>9167</v>
      </c>
      <c r="AA94" s="2">
        <f t="shared" si="4"/>
        <v>9400</v>
      </c>
      <c r="AB94" s="2">
        <f t="shared" si="4"/>
        <v>9358</v>
      </c>
      <c r="AC94" s="2">
        <f t="shared" ref="AC94" si="5">SUM(AC69:AC93)</f>
        <v>9804</v>
      </c>
    </row>
    <row r="95" spans="1:29" ht="12.75" customHeight="1">
      <c r="B95" s="10"/>
      <c r="C95" s="11"/>
      <c r="K95" s="35"/>
      <c r="M95" s="35"/>
      <c r="N95" s="35"/>
      <c r="O95" s="35"/>
      <c r="P95" s="35"/>
      <c r="Q95" s="35"/>
      <c r="R95" s="35"/>
      <c r="S95" s="35"/>
      <c r="T95" s="36"/>
      <c r="U95" s="35"/>
      <c r="V95" s="19"/>
      <c r="X95" s="35"/>
    </row>
    <row r="96" spans="1:29" ht="38.1" customHeight="1">
      <c r="A96" s="16" t="s">
        <v>81</v>
      </c>
      <c r="B96" s="10"/>
      <c r="C96" s="11"/>
      <c r="K96" s="35"/>
      <c r="M96" s="35"/>
      <c r="N96" s="35"/>
      <c r="O96" s="35"/>
      <c r="P96" s="35"/>
      <c r="Q96" s="34"/>
      <c r="R96" s="35"/>
      <c r="S96" s="35"/>
      <c r="T96" s="36"/>
      <c r="U96" s="35"/>
      <c r="V96" s="19"/>
    </row>
    <row r="97" spans="1:29" ht="12.75" customHeight="1">
      <c r="A97" s="16"/>
      <c r="B97" s="10"/>
      <c r="C97" s="11"/>
      <c r="K97" s="35"/>
      <c r="M97" s="35"/>
      <c r="N97" s="35"/>
      <c r="O97" s="35"/>
      <c r="P97" s="35"/>
      <c r="Q97" s="34"/>
      <c r="R97" s="35"/>
      <c r="S97" s="35"/>
      <c r="T97" s="36"/>
      <c r="U97" s="35"/>
      <c r="V97" s="19"/>
    </row>
    <row r="98" spans="1:29" ht="12.75" customHeight="1">
      <c r="A98" s="7" t="s">
        <v>82</v>
      </c>
      <c r="B98" s="2" t="s">
        <v>39</v>
      </c>
      <c r="C98" s="34" t="s">
        <v>39</v>
      </c>
      <c r="D98" s="35">
        <v>206</v>
      </c>
      <c r="E98" s="35">
        <v>185</v>
      </c>
      <c r="F98" s="35">
        <v>211</v>
      </c>
      <c r="G98" s="35">
        <v>186</v>
      </c>
      <c r="H98" s="35" t="s">
        <v>39</v>
      </c>
      <c r="I98" s="35">
        <v>195</v>
      </c>
      <c r="J98" s="35">
        <v>202</v>
      </c>
      <c r="K98" s="35">
        <v>199</v>
      </c>
      <c r="L98" s="12">
        <v>202</v>
      </c>
      <c r="M98" s="35">
        <v>243</v>
      </c>
      <c r="N98" s="35">
        <v>200</v>
      </c>
      <c r="O98" s="35">
        <v>197</v>
      </c>
      <c r="P98" s="35">
        <v>161</v>
      </c>
      <c r="Q98" s="35">
        <v>167</v>
      </c>
      <c r="R98" s="35">
        <v>154</v>
      </c>
      <c r="S98" s="35">
        <v>128</v>
      </c>
      <c r="T98" s="36">
        <v>159</v>
      </c>
      <c r="U98" s="35">
        <v>159</v>
      </c>
      <c r="V98" s="44">
        <v>180</v>
      </c>
      <c r="W98" s="23">
        <v>155</v>
      </c>
      <c r="X98" s="12">
        <v>151</v>
      </c>
      <c r="Y98" s="12">
        <v>146</v>
      </c>
      <c r="Z98" s="12">
        <v>184</v>
      </c>
      <c r="AA98" s="12">
        <v>171</v>
      </c>
      <c r="AB98" s="12">
        <v>178</v>
      </c>
      <c r="AC98" s="12">
        <v>178</v>
      </c>
    </row>
    <row r="99" spans="1:29" ht="12.75" hidden="1" customHeight="1">
      <c r="A99" s="7" t="s">
        <v>83</v>
      </c>
      <c r="B99" s="2">
        <v>74</v>
      </c>
      <c r="C99" s="34">
        <v>80</v>
      </c>
      <c r="D99" s="35">
        <v>44</v>
      </c>
      <c r="E99" s="35">
        <v>51</v>
      </c>
      <c r="F99" s="35">
        <v>87</v>
      </c>
      <c r="G99" s="35">
        <v>101</v>
      </c>
      <c r="H99" s="35">
        <v>88</v>
      </c>
      <c r="I99" s="35">
        <v>124</v>
      </c>
      <c r="J99" s="35">
        <v>136</v>
      </c>
      <c r="K99" s="35">
        <v>93</v>
      </c>
      <c r="L99" s="12">
        <v>93</v>
      </c>
      <c r="M99" s="35">
        <v>94</v>
      </c>
      <c r="N99" s="35">
        <v>105</v>
      </c>
      <c r="O99" s="35">
        <v>139</v>
      </c>
      <c r="P99" s="35">
        <v>219</v>
      </c>
      <c r="Q99" s="35" t="s">
        <v>39</v>
      </c>
      <c r="R99" s="35">
        <f>147+5</f>
        <v>152</v>
      </c>
      <c r="S99" s="35">
        <f>118+3</f>
        <v>121</v>
      </c>
      <c r="T99" s="36" t="s">
        <v>39</v>
      </c>
      <c r="U99" s="35" t="s">
        <v>84</v>
      </c>
      <c r="V99" s="36" t="s">
        <v>84</v>
      </c>
      <c r="W99" s="35" t="s">
        <v>84</v>
      </c>
      <c r="X99" s="35" t="s">
        <v>84</v>
      </c>
      <c r="Y99" s="35" t="s">
        <v>84</v>
      </c>
      <c r="Z99" s="35" t="s">
        <v>84</v>
      </c>
      <c r="AA99" s="35" t="s">
        <v>84</v>
      </c>
      <c r="AB99" s="35"/>
      <c r="AC99" s="35"/>
    </row>
    <row r="100" spans="1:29" ht="12.75" hidden="1" customHeight="1">
      <c r="A100" s="7" t="s">
        <v>85</v>
      </c>
      <c r="B100" s="2" t="s">
        <v>40</v>
      </c>
      <c r="C100" s="34" t="s">
        <v>40</v>
      </c>
      <c r="D100" s="35" t="s">
        <v>40</v>
      </c>
      <c r="E100" s="35" t="s">
        <v>40</v>
      </c>
      <c r="F100" s="35" t="s">
        <v>40</v>
      </c>
      <c r="G100" s="35" t="s">
        <v>40</v>
      </c>
      <c r="H100" s="35" t="s">
        <v>40</v>
      </c>
      <c r="I100" s="35" t="s">
        <v>40</v>
      </c>
      <c r="J100" s="35" t="s">
        <v>40</v>
      </c>
      <c r="K100" s="35" t="s">
        <v>40</v>
      </c>
      <c r="L100" s="35" t="s">
        <v>40</v>
      </c>
      <c r="M100" s="35" t="s">
        <v>40</v>
      </c>
      <c r="N100" s="35" t="s">
        <v>40</v>
      </c>
      <c r="O100" s="35">
        <f>75+34</f>
        <v>109</v>
      </c>
      <c r="P100" s="35" t="s">
        <v>40</v>
      </c>
      <c r="Q100" s="35" t="s">
        <v>40</v>
      </c>
      <c r="R100" s="35" t="s">
        <v>40</v>
      </c>
      <c r="S100" s="35" t="s">
        <v>40</v>
      </c>
      <c r="T100" s="36" t="s">
        <v>40</v>
      </c>
      <c r="U100" s="35" t="s">
        <v>40</v>
      </c>
      <c r="V100" s="36" t="s">
        <v>40</v>
      </c>
      <c r="W100" s="35" t="s">
        <v>40</v>
      </c>
      <c r="X100" s="35" t="s">
        <v>40</v>
      </c>
      <c r="Y100" s="35" t="s">
        <v>40</v>
      </c>
      <c r="Z100" s="35" t="s">
        <v>40</v>
      </c>
      <c r="AA100" s="35" t="s">
        <v>40</v>
      </c>
      <c r="AB100" s="35"/>
      <c r="AC100" s="35"/>
    </row>
    <row r="101" spans="1:29" ht="12.75" hidden="1" customHeight="1">
      <c r="A101" s="7" t="s">
        <v>86</v>
      </c>
      <c r="B101" s="2">
        <v>198</v>
      </c>
      <c r="C101" s="34">
        <v>224</v>
      </c>
      <c r="D101" s="35">
        <v>140</v>
      </c>
      <c r="E101" s="35">
        <v>131</v>
      </c>
      <c r="F101" s="35">
        <v>88</v>
      </c>
      <c r="G101" s="35">
        <v>127</v>
      </c>
      <c r="H101" s="35">
        <v>37</v>
      </c>
      <c r="I101" s="35" t="s">
        <v>40</v>
      </c>
      <c r="J101" s="35" t="s">
        <v>40</v>
      </c>
      <c r="K101" s="35" t="s">
        <v>40</v>
      </c>
      <c r="L101" s="35" t="s">
        <v>40</v>
      </c>
      <c r="M101" s="35" t="s">
        <v>40</v>
      </c>
      <c r="N101" s="35" t="s">
        <v>40</v>
      </c>
      <c r="O101" s="35" t="s">
        <v>40</v>
      </c>
      <c r="P101" s="35" t="s">
        <v>40</v>
      </c>
      <c r="Q101" s="35" t="s">
        <v>40</v>
      </c>
      <c r="R101" s="35" t="s">
        <v>40</v>
      </c>
      <c r="S101" s="35" t="s">
        <v>40</v>
      </c>
      <c r="T101" s="36" t="s">
        <v>40</v>
      </c>
      <c r="U101" s="35" t="s">
        <v>40</v>
      </c>
      <c r="V101" s="36" t="s">
        <v>40</v>
      </c>
      <c r="W101" s="35" t="s">
        <v>40</v>
      </c>
      <c r="X101" s="35" t="s">
        <v>40</v>
      </c>
      <c r="Y101" s="35" t="s">
        <v>40</v>
      </c>
      <c r="Z101" s="35" t="s">
        <v>40</v>
      </c>
      <c r="AA101" s="35" t="s">
        <v>40</v>
      </c>
      <c r="AB101" s="35"/>
      <c r="AC101" s="35"/>
    </row>
    <row r="102" spans="1:29" ht="12.75" hidden="1" customHeight="1">
      <c r="A102" s="7" t="s">
        <v>87</v>
      </c>
      <c r="B102" s="2">
        <v>45</v>
      </c>
      <c r="C102" s="34">
        <v>43</v>
      </c>
      <c r="D102" s="35">
        <v>53</v>
      </c>
      <c r="E102" s="35">
        <v>34</v>
      </c>
      <c r="F102" s="35">
        <v>21</v>
      </c>
      <c r="G102" s="35" t="s">
        <v>40</v>
      </c>
      <c r="H102" s="35" t="s">
        <v>40</v>
      </c>
      <c r="I102" s="35" t="s">
        <v>40</v>
      </c>
      <c r="J102" s="35" t="s">
        <v>40</v>
      </c>
      <c r="K102" s="35" t="s">
        <v>40</v>
      </c>
      <c r="L102" s="35" t="s">
        <v>40</v>
      </c>
      <c r="M102" s="35" t="s">
        <v>40</v>
      </c>
      <c r="N102" s="35" t="s">
        <v>40</v>
      </c>
      <c r="O102" s="35" t="s">
        <v>40</v>
      </c>
      <c r="P102" s="35" t="s">
        <v>40</v>
      </c>
      <c r="Q102" s="35" t="s">
        <v>40</v>
      </c>
      <c r="R102" s="35" t="s">
        <v>40</v>
      </c>
      <c r="S102" s="35" t="s">
        <v>40</v>
      </c>
      <c r="T102" s="36" t="s">
        <v>40</v>
      </c>
      <c r="U102" s="35" t="s">
        <v>40</v>
      </c>
      <c r="V102" s="36" t="s">
        <v>40</v>
      </c>
      <c r="W102" s="35" t="s">
        <v>40</v>
      </c>
      <c r="X102" s="35" t="s">
        <v>40</v>
      </c>
      <c r="Y102" s="35" t="s">
        <v>40</v>
      </c>
      <c r="Z102" s="35" t="s">
        <v>40</v>
      </c>
      <c r="AA102" s="35" t="s">
        <v>40</v>
      </c>
      <c r="AB102" s="35"/>
      <c r="AC102" s="35"/>
    </row>
    <row r="103" spans="1:29" ht="12.75" customHeight="1">
      <c r="A103" s="6" t="s">
        <v>88</v>
      </c>
      <c r="B103" s="2">
        <v>79</v>
      </c>
      <c r="C103" s="34">
        <v>117</v>
      </c>
      <c r="D103" s="35">
        <v>79</v>
      </c>
      <c r="E103" s="35">
        <v>92</v>
      </c>
      <c r="F103" s="35">
        <v>105</v>
      </c>
      <c r="G103" s="35">
        <v>119</v>
      </c>
      <c r="H103" s="35">
        <v>119</v>
      </c>
      <c r="I103" s="35">
        <v>152</v>
      </c>
      <c r="J103" s="35">
        <v>103</v>
      </c>
      <c r="K103" s="35">
        <v>177</v>
      </c>
      <c r="L103" s="12">
        <v>68</v>
      </c>
      <c r="M103" s="35">
        <v>120</v>
      </c>
      <c r="N103" s="35">
        <v>107</v>
      </c>
      <c r="O103" s="35">
        <v>52</v>
      </c>
      <c r="P103" s="35">
        <f>36+8</f>
        <v>44</v>
      </c>
      <c r="Q103" s="35">
        <v>55</v>
      </c>
      <c r="R103" s="35">
        <v>67</v>
      </c>
      <c r="S103" s="35">
        <v>58</v>
      </c>
      <c r="T103" s="36">
        <f>59+3</f>
        <v>62</v>
      </c>
      <c r="U103" s="35">
        <v>60</v>
      </c>
      <c r="V103" s="44">
        <f>45+6</f>
        <v>51</v>
      </c>
      <c r="W103" s="23">
        <f>75+8</f>
        <v>83</v>
      </c>
      <c r="X103" s="12">
        <v>57</v>
      </c>
      <c r="Y103" s="12">
        <v>51</v>
      </c>
      <c r="Z103" s="12">
        <f>88+5</f>
        <v>93</v>
      </c>
      <c r="AA103" s="12">
        <v>96</v>
      </c>
      <c r="AB103" s="47">
        <v>259</v>
      </c>
      <c r="AC103" s="47">
        <v>656</v>
      </c>
    </row>
    <row r="104" spans="1:29" ht="12.75" customHeight="1">
      <c r="A104" s="7" t="s">
        <v>33</v>
      </c>
      <c r="B104" s="2">
        <f t="shared" ref="B104:AB104" si="6">SUM(B98:B103)</f>
        <v>396</v>
      </c>
      <c r="C104" s="34">
        <f t="shared" si="6"/>
        <v>464</v>
      </c>
      <c r="D104" s="35">
        <f t="shared" si="6"/>
        <v>522</v>
      </c>
      <c r="E104" s="35">
        <f t="shared" si="6"/>
        <v>493</v>
      </c>
      <c r="F104" s="35">
        <f t="shared" si="6"/>
        <v>512</v>
      </c>
      <c r="G104" s="35">
        <f t="shared" si="6"/>
        <v>533</v>
      </c>
      <c r="H104" s="35">
        <f t="shared" si="6"/>
        <v>244</v>
      </c>
      <c r="I104" s="35">
        <f t="shared" si="6"/>
        <v>471</v>
      </c>
      <c r="J104" s="35">
        <f t="shared" si="6"/>
        <v>441</v>
      </c>
      <c r="K104" s="35">
        <f t="shared" si="6"/>
        <v>469</v>
      </c>
      <c r="L104" s="35">
        <f t="shared" si="6"/>
        <v>363</v>
      </c>
      <c r="M104" s="35">
        <f t="shared" si="6"/>
        <v>457</v>
      </c>
      <c r="N104" s="35">
        <f t="shared" si="6"/>
        <v>412</v>
      </c>
      <c r="O104" s="35">
        <f t="shared" si="6"/>
        <v>497</v>
      </c>
      <c r="P104" s="35">
        <f t="shared" si="6"/>
        <v>424</v>
      </c>
      <c r="Q104" s="35">
        <f t="shared" si="6"/>
        <v>222</v>
      </c>
      <c r="R104" s="35">
        <f t="shared" si="6"/>
        <v>373</v>
      </c>
      <c r="S104" s="35">
        <f t="shared" si="6"/>
        <v>307</v>
      </c>
      <c r="T104" s="36">
        <f t="shared" si="6"/>
        <v>221</v>
      </c>
      <c r="U104" s="35">
        <f t="shared" si="6"/>
        <v>219</v>
      </c>
      <c r="V104" s="36">
        <f t="shared" si="6"/>
        <v>231</v>
      </c>
      <c r="W104" s="35">
        <f t="shared" si="6"/>
        <v>238</v>
      </c>
      <c r="X104" s="35">
        <f t="shared" si="6"/>
        <v>208</v>
      </c>
      <c r="Y104" s="35">
        <f t="shared" si="6"/>
        <v>197</v>
      </c>
      <c r="Z104" s="35">
        <f t="shared" si="6"/>
        <v>277</v>
      </c>
      <c r="AA104" s="35">
        <f t="shared" si="6"/>
        <v>267</v>
      </c>
      <c r="AB104" s="35">
        <f t="shared" si="6"/>
        <v>437</v>
      </c>
      <c r="AC104" s="35">
        <f t="shared" ref="AC104" si="7">SUM(AC98:AC103)</f>
        <v>834</v>
      </c>
    </row>
    <row r="105" spans="1:29" ht="12.75" customHeight="1">
      <c r="B105" s="10"/>
      <c r="C105" s="11"/>
      <c r="K105" s="35"/>
      <c r="M105" s="35"/>
      <c r="N105" s="35"/>
      <c r="O105" s="35"/>
      <c r="P105" s="35"/>
      <c r="Q105" s="35"/>
      <c r="R105" s="35"/>
      <c r="S105" s="35"/>
      <c r="T105" s="36"/>
      <c r="U105" s="35"/>
      <c r="V105" s="36"/>
      <c r="W105" s="35"/>
      <c r="X105" s="35"/>
      <c r="Y105" s="35"/>
      <c r="Z105" s="35"/>
      <c r="AA105" s="35"/>
      <c r="AB105" s="35"/>
      <c r="AC105" s="35"/>
    </row>
    <row r="106" spans="1:29" ht="20.100000000000001" customHeight="1">
      <c r="A106" s="3" t="s">
        <v>89</v>
      </c>
      <c r="B106" s="2">
        <f t="shared" ref="B106:V106" si="8">SUM(B94+B104)</f>
        <v>7804</v>
      </c>
      <c r="C106" s="37">
        <f t="shared" si="8"/>
        <v>7152</v>
      </c>
      <c r="D106" s="2">
        <f t="shared" si="8"/>
        <v>7685</v>
      </c>
      <c r="E106" s="2">
        <f t="shared" si="8"/>
        <v>7704</v>
      </c>
      <c r="F106" s="2">
        <f t="shared" si="8"/>
        <v>7606</v>
      </c>
      <c r="G106" s="2">
        <f t="shared" si="8"/>
        <v>7316</v>
      </c>
      <c r="H106" s="2">
        <f t="shared" si="8"/>
        <v>7037</v>
      </c>
      <c r="I106" s="2">
        <f t="shared" si="8"/>
        <v>7895</v>
      </c>
      <c r="J106" s="2">
        <f t="shared" si="8"/>
        <v>8185</v>
      </c>
      <c r="K106" s="2">
        <f t="shared" si="8"/>
        <v>8404</v>
      </c>
      <c r="L106" s="2">
        <f t="shared" si="8"/>
        <v>6805</v>
      </c>
      <c r="M106" s="2">
        <f t="shared" si="8"/>
        <v>7647</v>
      </c>
      <c r="N106" s="2">
        <f t="shared" si="8"/>
        <v>7551</v>
      </c>
      <c r="O106" s="2">
        <f t="shared" si="8"/>
        <v>7906</v>
      </c>
      <c r="P106" s="2">
        <f t="shared" si="8"/>
        <v>8039</v>
      </c>
      <c r="Q106" s="2">
        <f t="shared" si="8"/>
        <v>8144</v>
      </c>
      <c r="R106" s="2">
        <f t="shared" si="8"/>
        <v>8369</v>
      </c>
      <c r="S106" s="2">
        <f t="shared" si="8"/>
        <v>8705</v>
      </c>
      <c r="T106" s="38">
        <f t="shared" si="8"/>
        <v>8320</v>
      </c>
      <c r="U106" s="2">
        <f t="shared" si="8"/>
        <v>8948</v>
      </c>
      <c r="V106" s="38">
        <f t="shared" si="8"/>
        <v>8578</v>
      </c>
      <c r="W106" s="2">
        <f t="shared" ref="W106:AB106" si="9">SUM(W94+W104)</f>
        <v>8933</v>
      </c>
      <c r="X106" s="2">
        <f t="shared" si="9"/>
        <v>9150</v>
      </c>
      <c r="Y106" s="2">
        <f t="shared" si="9"/>
        <v>9291</v>
      </c>
      <c r="Z106" s="2">
        <f t="shared" si="9"/>
        <v>9444</v>
      </c>
      <c r="AA106" s="2">
        <f t="shared" si="9"/>
        <v>9667</v>
      </c>
      <c r="AB106" s="2">
        <f t="shared" si="9"/>
        <v>9795</v>
      </c>
      <c r="AC106" s="2">
        <f t="shared" ref="AC106" si="10">SUM(AC94+AC104)</f>
        <v>10638</v>
      </c>
    </row>
    <row r="107" spans="1:29" ht="12.75" customHeight="1">
      <c r="B107" s="10"/>
      <c r="C107" s="11"/>
      <c r="K107" s="35"/>
      <c r="N107" s="35"/>
      <c r="O107" s="35"/>
      <c r="P107" s="35"/>
      <c r="Q107" s="35"/>
      <c r="R107" s="35"/>
      <c r="S107" s="35"/>
      <c r="T107" s="36"/>
      <c r="U107" s="35"/>
      <c r="V107" s="36"/>
      <c r="W107" s="35"/>
      <c r="X107" s="35"/>
      <c r="Y107" s="35"/>
      <c r="Z107" s="35"/>
      <c r="AA107" s="35"/>
      <c r="AB107" s="35"/>
      <c r="AC107" s="35"/>
    </row>
    <row r="108" spans="1:29" ht="12.75" customHeight="1" thickBot="1">
      <c r="A108" s="8" t="s">
        <v>90</v>
      </c>
      <c r="B108" s="2">
        <f t="shared" ref="B108:AA108" si="11">SUM(B52+B106)</f>
        <v>43493</v>
      </c>
      <c r="C108" s="37">
        <f t="shared" si="11"/>
        <v>39505</v>
      </c>
      <c r="D108" s="2">
        <f t="shared" si="11"/>
        <v>39095</v>
      </c>
      <c r="E108" s="2">
        <f t="shared" si="11"/>
        <v>35792</v>
      </c>
      <c r="F108" s="2">
        <f t="shared" si="11"/>
        <v>35720</v>
      </c>
      <c r="G108" s="2">
        <f t="shared" si="11"/>
        <v>32731</v>
      </c>
      <c r="H108" s="2">
        <f t="shared" si="11"/>
        <v>33560</v>
      </c>
      <c r="I108" s="2">
        <f t="shared" si="11"/>
        <v>36594</v>
      </c>
      <c r="J108" s="2">
        <f t="shared" si="11"/>
        <v>38539</v>
      </c>
      <c r="K108" s="2">
        <f t="shared" si="11"/>
        <v>37175</v>
      </c>
      <c r="L108" s="2">
        <f t="shared" si="11"/>
        <v>34674</v>
      </c>
      <c r="M108" s="2">
        <f t="shared" si="11"/>
        <v>35034</v>
      </c>
      <c r="N108" s="2">
        <f t="shared" si="11"/>
        <v>34083</v>
      </c>
      <c r="O108" s="2">
        <f t="shared" si="11"/>
        <v>33734</v>
      </c>
      <c r="P108" s="2">
        <f t="shared" si="11"/>
        <v>34214</v>
      </c>
      <c r="Q108" s="2">
        <f t="shared" si="11"/>
        <v>34546</v>
      </c>
      <c r="R108" s="2">
        <f t="shared" si="11"/>
        <v>35184</v>
      </c>
      <c r="S108" s="2">
        <f t="shared" si="11"/>
        <v>36972</v>
      </c>
      <c r="T108" s="48">
        <f t="shared" si="11"/>
        <v>37249</v>
      </c>
      <c r="U108" s="2">
        <f t="shared" si="11"/>
        <v>38800</v>
      </c>
      <c r="V108" s="48">
        <f t="shared" si="11"/>
        <v>39324</v>
      </c>
      <c r="W108" s="2">
        <f t="shared" si="11"/>
        <v>41135</v>
      </c>
      <c r="X108" s="39">
        <f t="shared" si="11"/>
        <v>41809</v>
      </c>
      <c r="Y108" s="39">
        <f t="shared" si="11"/>
        <v>42690</v>
      </c>
      <c r="Z108" s="39">
        <f t="shared" si="11"/>
        <v>43414</v>
      </c>
      <c r="AA108" s="39">
        <f t="shared" si="11"/>
        <v>47582</v>
      </c>
      <c r="AB108" s="39">
        <f>SUM(AB52+AB106)</f>
        <v>48181</v>
      </c>
      <c r="AC108" s="39">
        <f>SUM(AC52+AC106)</f>
        <v>48529</v>
      </c>
    </row>
    <row r="109" spans="1:29" ht="12.75" customHeight="1" thickTop="1">
      <c r="A109" s="4" t="s">
        <v>53</v>
      </c>
      <c r="B109" s="49"/>
      <c r="C109" s="49"/>
      <c r="D109" s="49"/>
      <c r="E109" s="49"/>
      <c r="F109" s="49"/>
      <c r="G109" s="49"/>
      <c r="H109" s="49"/>
      <c r="I109" s="49"/>
      <c r="J109" s="49"/>
      <c r="K109" s="49"/>
      <c r="L109" s="49"/>
      <c r="M109" s="49"/>
      <c r="N109" s="49"/>
      <c r="O109" s="49"/>
      <c r="P109" s="49"/>
      <c r="Q109" s="49"/>
      <c r="R109" s="49"/>
      <c r="S109" s="49"/>
      <c r="T109" s="49"/>
      <c r="U109" s="27"/>
      <c r="V109" s="27"/>
      <c r="W109" s="27"/>
    </row>
    <row r="110" spans="1:29" ht="12.75" customHeight="1">
      <c r="A110" s="6" t="s">
        <v>91</v>
      </c>
      <c r="B110" s="35"/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</row>
    <row r="111" spans="1:29" ht="12.75" customHeight="1">
      <c r="A111" s="6" t="s">
        <v>54</v>
      </c>
      <c r="N111" s="35"/>
      <c r="O111" s="35"/>
      <c r="P111" s="35"/>
      <c r="Q111" s="35"/>
      <c r="R111" s="35"/>
      <c r="S111" s="35"/>
      <c r="T111" s="35"/>
    </row>
    <row r="112" spans="1:29" ht="12.75" customHeight="1">
      <c r="A112" s="6" t="s">
        <v>55</v>
      </c>
      <c r="N112" s="35"/>
      <c r="O112" s="35"/>
      <c r="P112" s="35"/>
      <c r="Q112" s="35"/>
      <c r="R112" s="35"/>
      <c r="S112" s="35"/>
      <c r="T112" s="35"/>
    </row>
    <row r="113" spans="1:20" ht="12.75" customHeight="1">
      <c r="A113" s="1"/>
      <c r="N113" s="35"/>
      <c r="O113" s="35"/>
      <c r="P113" s="35"/>
      <c r="Q113" s="35"/>
      <c r="R113" s="35"/>
      <c r="S113" s="35"/>
      <c r="T113" s="35"/>
    </row>
    <row r="114" spans="1:20" ht="12.75" customHeight="1">
      <c r="N114" s="35"/>
      <c r="O114" s="35"/>
      <c r="P114" s="35"/>
      <c r="Q114" s="35"/>
      <c r="R114" s="35"/>
      <c r="S114" s="35"/>
      <c r="T114" s="35"/>
    </row>
    <row r="115" spans="1:20" ht="12.75" customHeight="1">
      <c r="N115" s="35"/>
      <c r="O115" s="35"/>
      <c r="P115" s="35"/>
      <c r="Q115" s="35"/>
      <c r="R115" s="35"/>
      <c r="S115" s="35"/>
      <c r="T115" s="35"/>
    </row>
    <row r="116" spans="1:20" ht="12.75" customHeight="1">
      <c r="O116" s="35"/>
      <c r="P116" s="35"/>
      <c r="Q116" s="35"/>
      <c r="R116" s="35"/>
      <c r="S116" s="35"/>
      <c r="T116" s="35"/>
    </row>
    <row r="117" spans="1:20" ht="12.75" customHeight="1">
      <c r="O117" s="35"/>
      <c r="P117" s="35"/>
      <c r="Q117" s="35"/>
      <c r="R117" s="35"/>
      <c r="S117" s="35"/>
      <c r="T117" s="35"/>
    </row>
    <row r="118" spans="1:20" ht="12.75" customHeight="1">
      <c r="O118" s="35"/>
      <c r="P118" s="35"/>
      <c r="Q118" s="35"/>
      <c r="R118" s="35"/>
      <c r="S118" s="35"/>
      <c r="T118" s="35"/>
    </row>
    <row r="119" spans="1:20" ht="12.75" customHeight="1">
      <c r="O119" s="35"/>
      <c r="P119" s="35"/>
      <c r="Q119" s="35"/>
      <c r="R119" s="35"/>
      <c r="S119" s="35"/>
      <c r="T119" s="35"/>
    </row>
    <row r="120" spans="1:20" ht="12.75" customHeight="1">
      <c r="O120" s="35"/>
      <c r="P120" s="35"/>
      <c r="Q120" s="35"/>
      <c r="R120" s="35"/>
      <c r="S120" s="35"/>
      <c r="T120" s="35"/>
    </row>
    <row r="121" spans="1:20" ht="12.75" customHeight="1">
      <c r="O121" s="35"/>
      <c r="P121" s="35"/>
      <c r="Q121" s="35"/>
      <c r="R121" s="35"/>
      <c r="S121" s="35"/>
      <c r="T121" s="35"/>
    </row>
    <row r="122" spans="1:20" ht="12.75" customHeight="1">
      <c r="O122" s="35"/>
      <c r="P122" s="35"/>
      <c r="Q122" s="35"/>
      <c r="R122" s="35"/>
      <c r="S122" s="35"/>
      <c r="T122" s="35"/>
    </row>
    <row r="123" spans="1:20" ht="12.75" customHeight="1">
      <c r="O123" s="35"/>
      <c r="P123" s="35"/>
      <c r="Q123" s="35"/>
      <c r="R123" s="35"/>
      <c r="S123" s="35"/>
      <c r="T123" s="35"/>
    </row>
    <row r="124" spans="1:20" ht="12.75" customHeight="1">
      <c r="O124" s="35"/>
      <c r="P124" s="35"/>
      <c r="Q124" s="35"/>
      <c r="R124" s="35"/>
      <c r="S124" s="35"/>
      <c r="T124" s="35"/>
    </row>
    <row r="125" spans="1:20" ht="12.75" customHeight="1">
      <c r="O125" s="35"/>
      <c r="P125" s="35"/>
      <c r="Q125" s="35"/>
      <c r="R125" s="35"/>
      <c r="S125" s="35"/>
      <c r="T125" s="35"/>
    </row>
    <row r="126" spans="1:20" ht="12.75" customHeight="1">
      <c r="O126" s="35"/>
      <c r="P126" s="35"/>
      <c r="Q126" s="35"/>
      <c r="R126" s="35"/>
      <c r="S126" s="35"/>
      <c r="T126" s="35"/>
    </row>
    <row r="127" spans="1:20" ht="12.75" customHeight="1">
      <c r="O127" s="35"/>
      <c r="P127" s="35"/>
      <c r="Q127" s="35"/>
      <c r="R127" s="35"/>
      <c r="S127" s="35"/>
      <c r="T127" s="35"/>
    </row>
    <row r="128" spans="1:20" ht="12.75" customHeight="1">
      <c r="O128" s="35"/>
      <c r="P128" s="35"/>
      <c r="Q128" s="35"/>
      <c r="R128" s="35"/>
      <c r="S128" s="35"/>
      <c r="T128" s="35"/>
    </row>
    <row r="129" spans="15:20" ht="12.75" customHeight="1">
      <c r="O129" s="35"/>
      <c r="P129" s="35"/>
      <c r="Q129" s="35"/>
      <c r="R129" s="35"/>
      <c r="S129" s="35"/>
      <c r="T129" s="35"/>
    </row>
    <row r="130" spans="15:20" ht="12.75" customHeight="1">
      <c r="O130" s="35"/>
      <c r="P130" s="35"/>
      <c r="Q130" s="35"/>
      <c r="R130" s="35"/>
      <c r="S130" s="35"/>
      <c r="T130" s="35"/>
    </row>
    <row r="131" spans="15:20" ht="12.75" customHeight="1">
      <c r="O131" s="35"/>
      <c r="P131" s="35"/>
      <c r="Q131" s="35"/>
      <c r="R131" s="35"/>
      <c r="S131" s="35"/>
      <c r="T131" s="35"/>
    </row>
    <row r="132" spans="15:20" ht="12.75" customHeight="1">
      <c r="O132" s="35"/>
      <c r="P132" s="35"/>
      <c r="Q132" s="35"/>
      <c r="R132" s="35"/>
      <c r="S132" s="35"/>
      <c r="T132" s="35"/>
    </row>
    <row r="133" spans="15:20" ht="12.75" customHeight="1">
      <c r="O133" s="35"/>
      <c r="P133" s="35"/>
      <c r="Q133" s="35"/>
      <c r="R133" s="35"/>
      <c r="S133" s="35"/>
      <c r="T133" s="35"/>
    </row>
    <row r="134" spans="15:20" ht="12.75" customHeight="1">
      <c r="O134" s="35"/>
      <c r="P134" s="35"/>
      <c r="Q134" s="35"/>
      <c r="R134" s="35"/>
      <c r="S134" s="35"/>
      <c r="T134" s="35"/>
    </row>
    <row r="135" spans="15:20" ht="12.75" customHeight="1">
      <c r="O135" s="35"/>
      <c r="P135" s="35"/>
      <c r="Q135" s="35"/>
      <c r="R135" s="35"/>
      <c r="S135" s="35"/>
      <c r="T135" s="35"/>
    </row>
    <row r="136" spans="15:20" ht="12.75" customHeight="1">
      <c r="O136" s="35"/>
      <c r="P136" s="35"/>
      <c r="Q136" s="35"/>
      <c r="R136" s="35"/>
      <c r="S136" s="35"/>
      <c r="T136" s="35"/>
    </row>
    <row r="137" spans="15:20" ht="12.75" customHeight="1">
      <c r="O137" s="35"/>
      <c r="P137" s="35"/>
      <c r="Q137" s="35"/>
      <c r="R137" s="35"/>
      <c r="S137" s="35"/>
      <c r="T137" s="35"/>
    </row>
    <row r="138" spans="15:20" ht="12.75" customHeight="1">
      <c r="O138" s="35"/>
      <c r="P138" s="35"/>
      <c r="Q138" s="35"/>
      <c r="R138" s="35"/>
      <c r="S138" s="35"/>
      <c r="T138" s="35"/>
    </row>
    <row r="139" spans="15:20" ht="12.75" customHeight="1">
      <c r="O139" s="35"/>
      <c r="P139" s="35"/>
      <c r="Q139" s="35"/>
      <c r="R139" s="35"/>
      <c r="S139" s="35"/>
      <c r="T139" s="35"/>
    </row>
    <row r="140" spans="15:20" ht="12.75" customHeight="1">
      <c r="O140" s="35"/>
      <c r="P140" s="35"/>
      <c r="Q140" s="35"/>
      <c r="R140" s="35"/>
      <c r="S140" s="35"/>
      <c r="T140" s="35"/>
    </row>
    <row r="141" spans="15:20" ht="12.75" customHeight="1">
      <c r="O141" s="35"/>
      <c r="P141" s="35"/>
      <c r="Q141" s="35"/>
      <c r="R141" s="35"/>
      <c r="S141" s="35"/>
      <c r="T141" s="35"/>
    </row>
    <row r="142" spans="15:20" ht="12.75" customHeight="1">
      <c r="O142" s="35"/>
      <c r="P142" s="35"/>
      <c r="Q142" s="35"/>
      <c r="R142" s="35"/>
      <c r="S142" s="35"/>
      <c r="T142" s="35"/>
    </row>
    <row r="143" spans="15:20" ht="12.75" customHeight="1">
      <c r="O143" s="35"/>
      <c r="P143" s="35"/>
      <c r="Q143" s="35"/>
      <c r="R143" s="35"/>
      <c r="S143" s="35"/>
      <c r="T143" s="35"/>
    </row>
    <row r="144" spans="15:20" ht="12.75" customHeight="1">
      <c r="O144" s="35"/>
      <c r="P144" s="35"/>
      <c r="Q144" s="35"/>
      <c r="R144" s="35"/>
      <c r="S144" s="35"/>
      <c r="T144" s="35"/>
    </row>
    <row r="145" spans="15:20" ht="12.75" customHeight="1">
      <c r="O145" s="35"/>
      <c r="P145" s="35"/>
      <c r="Q145" s="35"/>
      <c r="R145" s="35"/>
      <c r="S145" s="35"/>
      <c r="T145" s="35"/>
    </row>
    <row r="146" spans="15:20" ht="12.75" customHeight="1">
      <c r="O146" s="35"/>
      <c r="P146" s="35"/>
      <c r="Q146" s="35"/>
      <c r="R146" s="35"/>
      <c r="S146" s="35"/>
      <c r="T146" s="35"/>
    </row>
    <row r="147" spans="15:20" ht="12.75" customHeight="1">
      <c r="O147" s="35"/>
      <c r="P147" s="35"/>
      <c r="Q147" s="35"/>
      <c r="R147" s="35"/>
      <c r="S147" s="35"/>
      <c r="T147" s="35"/>
    </row>
    <row r="148" spans="15:20" ht="12.75" customHeight="1">
      <c r="O148" s="35"/>
      <c r="P148" s="35"/>
      <c r="Q148" s="35"/>
      <c r="R148" s="35"/>
      <c r="S148" s="35"/>
      <c r="T148" s="35"/>
    </row>
    <row r="149" spans="15:20" ht="12.75" customHeight="1">
      <c r="O149" s="35"/>
      <c r="P149" s="35"/>
      <c r="Q149" s="35"/>
      <c r="R149" s="35"/>
      <c r="S149" s="35"/>
      <c r="T149" s="35"/>
    </row>
    <row r="150" spans="15:20" ht="12.75" customHeight="1">
      <c r="O150" s="35"/>
      <c r="P150" s="35"/>
      <c r="Q150" s="35"/>
      <c r="R150" s="35"/>
      <c r="S150" s="35"/>
      <c r="T150" s="35"/>
    </row>
    <row r="151" spans="15:20" ht="12.75" customHeight="1">
      <c r="O151" s="35"/>
      <c r="P151" s="35"/>
      <c r="Q151" s="35"/>
      <c r="R151" s="35"/>
      <c r="S151" s="35"/>
      <c r="T151" s="35"/>
    </row>
    <row r="152" spans="15:20" ht="12.75" customHeight="1">
      <c r="O152" s="35"/>
      <c r="P152" s="35"/>
      <c r="Q152" s="35"/>
      <c r="R152" s="35"/>
      <c r="S152" s="35"/>
      <c r="T152" s="35"/>
    </row>
    <row r="153" spans="15:20" ht="12.75" customHeight="1">
      <c r="O153" s="35"/>
      <c r="P153" s="35"/>
      <c r="Q153" s="35"/>
      <c r="R153" s="35"/>
      <c r="S153" s="35"/>
      <c r="T153" s="35"/>
    </row>
    <row r="154" spans="15:20" ht="12.75" customHeight="1">
      <c r="O154" s="35"/>
      <c r="P154" s="35"/>
      <c r="Q154" s="35"/>
      <c r="R154" s="35"/>
      <c r="S154" s="35"/>
      <c r="T154" s="35"/>
    </row>
    <row r="155" spans="15:20" ht="12.75" customHeight="1">
      <c r="O155" s="35"/>
      <c r="P155" s="35"/>
      <c r="Q155" s="35"/>
      <c r="R155" s="35"/>
      <c r="S155" s="35"/>
      <c r="T155" s="35"/>
    </row>
    <row r="156" spans="15:20" ht="12.75" customHeight="1">
      <c r="O156" s="35"/>
      <c r="P156" s="35"/>
      <c r="Q156" s="35"/>
      <c r="R156" s="35"/>
      <c r="S156" s="35"/>
      <c r="T156" s="35"/>
    </row>
    <row r="157" spans="15:20" ht="12.75" customHeight="1">
      <c r="O157" s="35"/>
      <c r="P157" s="35"/>
      <c r="Q157" s="35"/>
      <c r="R157" s="35"/>
      <c r="S157" s="35"/>
      <c r="T157" s="35"/>
    </row>
    <row r="158" spans="15:20" ht="12.75" customHeight="1">
      <c r="O158" s="35"/>
      <c r="P158" s="35"/>
      <c r="Q158" s="35"/>
      <c r="R158" s="35"/>
      <c r="S158" s="35"/>
      <c r="T158" s="35"/>
    </row>
    <row r="159" spans="15:20" ht="12.75" customHeight="1">
      <c r="O159" s="35"/>
      <c r="P159" s="35"/>
      <c r="Q159" s="35"/>
      <c r="R159" s="35"/>
      <c r="S159" s="35"/>
      <c r="T159" s="35"/>
    </row>
    <row r="160" spans="15:20" ht="12.75" customHeight="1">
      <c r="O160" s="35"/>
      <c r="P160" s="35"/>
      <c r="Q160" s="35"/>
      <c r="R160" s="35"/>
      <c r="S160" s="35"/>
      <c r="T160" s="35"/>
    </row>
    <row r="161" spans="15:20" ht="12.75" customHeight="1">
      <c r="O161" s="35"/>
      <c r="P161" s="35"/>
      <c r="Q161" s="35"/>
      <c r="R161" s="35"/>
      <c r="S161" s="35"/>
      <c r="T161" s="35"/>
    </row>
    <row r="162" spans="15:20" ht="12.75" customHeight="1">
      <c r="O162" s="35"/>
      <c r="P162" s="35"/>
      <c r="Q162" s="35"/>
      <c r="R162" s="35"/>
      <c r="S162" s="35"/>
      <c r="T162" s="35"/>
    </row>
    <row r="163" spans="15:20" ht="12.75" customHeight="1">
      <c r="O163" s="35"/>
      <c r="P163" s="35"/>
      <c r="Q163" s="35"/>
      <c r="R163" s="35"/>
      <c r="S163" s="35"/>
      <c r="T163" s="35"/>
    </row>
    <row r="164" spans="15:20" ht="12.75" customHeight="1">
      <c r="O164" s="35"/>
      <c r="P164" s="35"/>
      <c r="Q164" s="35"/>
      <c r="R164" s="35"/>
      <c r="S164" s="35"/>
      <c r="T164" s="35"/>
    </row>
    <row r="165" spans="15:20" ht="12.75" customHeight="1">
      <c r="O165" s="35"/>
      <c r="P165" s="35"/>
      <c r="Q165" s="35"/>
      <c r="R165" s="35"/>
      <c r="S165" s="35"/>
      <c r="T165" s="35"/>
    </row>
    <row r="166" spans="15:20" ht="12.75" customHeight="1">
      <c r="O166" s="35"/>
      <c r="P166" s="35"/>
      <c r="Q166" s="35"/>
      <c r="R166" s="35"/>
      <c r="S166" s="35"/>
      <c r="T166" s="35"/>
    </row>
    <row r="167" spans="15:20" ht="12.75" customHeight="1">
      <c r="O167" s="35"/>
      <c r="P167" s="35"/>
      <c r="Q167" s="35"/>
      <c r="R167" s="35"/>
      <c r="S167" s="35"/>
      <c r="T167" s="35"/>
    </row>
    <row r="168" spans="15:20" ht="12.75" customHeight="1"/>
    <row r="169" spans="15:20" ht="12.75" customHeight="1"/>
    <row r="170" spans="15:20" ht="12.75" customHeight="1"/>
    <row r="171" spans="15:20" ht="12.75" customHeight="1"/>
    <row r="172" spans="15:20" ht="12.75" customHeight="1"/>
    <row r="173" spans="15:20" ht="12.75" customHeight="1"/>
    <row r="174" spans="15:20" ht="12.75" customHeight="1"/>
    <row r="175" spans="15:20" ht="12.75" customHeight="1"/>
    <row r="176" spans="15:20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</sheetData>
  <phoneticPr fontId="0" type="noConversion"/>
  <pageMargins left="1.47" right="0.3" top="0.67" bottom="0.36" header="0.5" footer="0.33"/>
  <pageSetup scale="93" orientation="portrait" r:id="rId1"/>
  <headerFooter alignWithMargins="0"/>
  <rowBreaks count="1" manualBreakCount="1">
    <brk id="56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45 - On campus HCT of 1x </vt:lpstr>
      <vt:lpstr>'Table 45 - On campus HCT of 1x 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Jeffrey Smith</cp:lastModifiedBy>
  <cp:lastPrinted>2010-03-09T21:19:11Z</cp:lastPrinted>
  <dcterms:created xsi:type="dcterms:W3CDTF">2003-06-16T22:19:41Z</dcterms:created>
  <dcterms:modified xsi:type="dcterms:W3CDTF">2010-03-09T21:19:18Z</dcterms:modified>
</cp:coreProperties>
</file>