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3875" windowHeight="9090" activeTab="0"/>
  </bookViews>
  <sheets>
    <sheet name="Table 61 - Trend in HCT of Wome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<sst xmlns="http://schemas.openxmlformats.org/spreadsheetml/2006/main" count="790" uniqueCount="113">
  <si>
    <t xml:space="preserve"> WOMEN AS A % OF TOTAL</t>
  </si>
  <si>
    <t>TOTAL WOMEN</t>
  </si>
  <si>
    <t>TOTAL ENROLLMENT from EF so early yrs w/n match # from DHE02 on other tables</t>
  </si>
  <si>
    <t>FALL</t>
  </si>
  <si>
    <t xml:space="preserve">Fall </t>
  </si>
  <si>
    <t>1981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</si>
  <si>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</si>
  <si>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</si>
  <si>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</si>
  <si>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</si>
  <si>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</si>
  <si>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</si>
  <si>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</si>
  <si>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</si>
  <si>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</si>
  <si>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</si>
  <si>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</si>
  <si>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</si>
  <si>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</si>
  <si>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</si>
  <si>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</si>
  <si>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</si>
  <si>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</si>
  <si>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 xml:space="preserve">- 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</si>
  <si>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</si>
  <si>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</si>
  <si>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</si>
  <si>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</si>
  <si>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</si>
  <si>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</si>
  <si>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</si>
  <si>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</si>
  <si>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</si>
  <si>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</si>
  <si>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UMR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</si>
  <si>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</si>
  <si>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</si>
  <si>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</si>
  <si>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</si>
  <si>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</si>
  <si>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</si>
  <si>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</si>
  <si>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N/A</t>
  </si>
  <si>
    <t>--</t>
  </si>
  <si>
    <t>METRO CC - PIONEER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</si>
  <si>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</si>
  <si>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</si>
  <si>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</si>
  <si>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</si>
  <si>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</si>
  <si>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</si>
  <si>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</si>
  <si>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</si>
  <si>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</si>
  <si>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</si>
  <si>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</si>
  <si>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N/A indicates that data are not available.</t>
  </si>
  <si>
    <t xml:space="preserve">-- indicates that institution was not or is no longer open.  </t>
  </si>
  <si>
    <t xml:space="preserve">SOURCE:  IPEDS EF, Fall Enrollment </t>
  </si>
  <si>
    <t xml:space="preserve">HISTORICAL TREND IN TOTAL HEADCOUNT ENROLLMENT OF WOMEN AT PRIVATE NOT-FOR-PROFIT (INDEPENDENT) INSTITUTIONS, </t>
  </si>
  <si>
    <t xml:space="preserve">= </t>
  </si>
  <si>
    <t>TOTAL ENROLLMENT</t>
  </si>
  <si>
    <t>PRIVATE NOT-FOR-PROFIT (INDEPENDENT) BACCALAUREATE AND HIGHER DEGREE-GRANTING INSTITUTIONS</t>
  </si>
  <si>
    <t>AVILA</t>
  </si>
  <si>
    <t>CARDINAL NEWMAN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</si>
  <si>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</si>
  <si>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</si>
  <si>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</si>
  <si>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</si>
  <si>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</si>
  <si>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</si>
  <si>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</si>
  <si>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</si>
  <si>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</si>
  <si>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</si>
  <si>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</si>
  <si>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</si>
  <si>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</si>
  <si>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</si>
  <si>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</si>
  <si>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</si>
  <si>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TARKIO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</si>
  <si>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</si>
  <si>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</si>
  <si>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</si>
  <si>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</si>
  <si>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</si>
  <si>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</si>
  <si>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</si>
  <si>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KEMPER</t>
  </si>
  <si>
    <t>*</t>
  </si>
  <si>
    <t>NORTHWEST MO. CC</t>
  </si>
  <si>
    <t>ST. MARY'S</t>
  </si>
  <si>
    <t>ST. PAUL'S</t>
  </si>
  <si>
    <t>WENTWORTH</t>
  </si>
  <si>
    <t>PRIVATE NOT-FOR-PROFIT (INDEPENDENT) TOTAL</t>
  </si>
  <si>
    <t>STATE TOTAL</t>
  </si>
  <si>
    <t>*No longer offers postsecondary programs</t>
  </si>
  <si>
    <t>-- indicates that the institution was not or is no longer open.</t>
  </si>
  <si>
    <t>TABLE 61</t>
  </si>
  <si>
    <t>TABLE 62</t>
  </si>
  <si>
    <t>MISSOURI STATE</t>
  </si>
  <si>
    <t>MSU - WEST PLAINS</t>
  </si>
  <si>
    <t>HISTORICAL TREND IN TOTAL HEADCOUNT ENROLLMENT OF WOMEN AT PUBLIC INSTITUTIONS, FALL 1981, FALL 2002-FALL 2006</t>
  </si>
  <si>
    <t>UCM</t>
  </si>
  <si>
    <t>MCC - BLUE RIVER</t>
  </si>
  <si>
    <t>MCC - BUS. AND TECHNOLOGY</t>
  </si>
  <si>
    <t>MCC - LONGVIEW</t>
  </si>
  <si>
    <t>MCC - MAPLE WOODS</t>
  </si>
  <si>
    <t>MCC - PENN VALLEY</t>
  </si>
  <si>
    <t>CENTRAL METHODIST - CLAS</t>
  </si>
  <si>
    <t>CENTRAL METHODIST - GR / EXT.</t>
  </si>
  <si>
    <t>FALL 1981, FALL 2002-FALL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</si>
</sst>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8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"/>
      <name val="Times New Roman"/>
      <family val="0"/>
    </font>
    <font>
      <sz val="8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/>
    </border>
    <border>
      <left style="thick">
        <color indexed="8"/>
      </left>
      <right style="thin"/>
      <top>
        <color indexed="63"/>
      </top>
      <bottom>
        <color indexed="63"/>
      </bottom>
    </border>
    <border>
      <left style="thick">
        <color indexed="8"/>
      </left>
      <right style="thin"/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8"/>
      </left>
      <right style="thin"/>
      <top>
        <color indexed="63"/>
      </top>
      <bottom style="double">
        <color indexed="8"/>
      </bottom>
    </border>
    <border>
      <left style="thick">
        <color indexed="8"/>
      </left>
      <right style="thin"/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4"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Alignment="1">
      <alignment horizontal="left" wrapText="1"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Font="1" applyAlignment="1">
      <alignment/>
    </xf>
    <xf numFmtId="9" fontId="5" fillId="2" borderId="2" xfId="0" applyNumberFormat="1" applyFont="1" applyFill="1" applyAlignment="1">
      <alignment/>
    </xf>
    <xf numFmtId="0" fontId="5" fillId="2" borderId="2" xfId="0" applyFont="1" applyFill="1" applyAlignment="1">
      <alignment/>
    </xf>
    <xf numFmtId="0" fontId="5" fillId="2" borderId="1" xfId="0" applyNumberFormat="1" applyFont="1" applyFill="1" applyAlignment="1">
      <alignment horizontal="centerContinuous"/>
    </xf>
    <xf numFmtId="3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Alignment="1">
      <alignment/>
    </xf>
    <xf numFmtId="9" fontId="5" fillId="2" borderId="0" xfId="0" applyNumberFormat="1" applyFont="1" applyFill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fill"/>
    </xf>
    <xf numFmtId="0" fontId="0" fillId="0" borderId="0" xfId="0" applyNumberFormat="1" applyFont="1" applyAlignment="1">
      <alignment horizontal="left" wrapText="1"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9" fontId="0" fillId="0" borderId="2" xfId="0" applyNumberFormat="1" applyFont="1" applyAlignment="1">
      <alignment/>
    </xf>
    <xf numFmtId="3" fontId="0" fillId="0" borderId="2" xfId="0" applyNumberFormat="1" applyFont="1" applyAlignment="1">
      <alignment/>
    </xf>
    <xf numFmtId="0" fontId="0" fillId="0" borderId="2" xfId="0" applyFont="1" applyAlignment="1">
      <alignment/>
    </xf>
    <xf numFmtId="9" fontId="0" fillId="0" borderId="1" xfId="0" applyNumberFormat="1" applyFont="1" applyAlignment="1">
      <alignment/>
    </xf>
    <xf numFmtId="3" fontId="0" fillId="0" borderId="1" xfId="0" applyNumberFormat="1" applyFont="1" applyAlignment="1">
      <alignment/>
    </xf>
    <xf numFmtId="0" fontId="0" fillId="0" borderId="1" xfId="0" applyFont="1" applyAlignment="1">
      <alignment/>
    </xf>
    <xf numFmtId="0" fontId="5" fillId="2" borderId="2" xfId="0" applyNumberFormat="1" applyFont="1" applyFill="1" applyAlignment="1">
      <alignment horizontal="center"/>
    </xf>
    <xf numFmtId="0" fontId="5" fillId="2" borderId="2" xfId="0" applyFont="1" applyFill="1" applyAlignment="1">
      <alignment horizontal="center"/>
    </xf>
    <xf numFmtId="0" fontId="5" fillId="2" borderId="3" xfId="0" applyNumberFormat="1" applyFont="1" applyFill="1" applyAlignment="1">
      <alignment horizontal="centerContinuous"/>
    </xf>
    <xf numFmtId="3" fontId="5" fillId="2" borderId="0" xfId="0" applyNumberFormat="1" applyFont="1" applyFill="1" applyAlignment="1">
      <alignment horizontal="right"/>
    </xf>
    <xf numFmtId="9" fontId="5" fillId="2" borderId="4" xfId="0" applyNumberFormat="1" applyFont="1" applyFill="1" applyAlignment="1">
      <alignment horizontal="right"/>
    </xf>
    <xf numFmtId="9" fontId="5" fillId="2" borderId="0" xfId="0" applyNumberFormat="1" applyFont="1" applyFill="1" applyAlignment="1">
      <alignment horizontal="right"/>
    </xf>
    <xf numFmtId="0" fontId="0" fillId="0" borderId="2" xfId="0" applyFont="1" applyAlignment="1">
      <alignment horizontal="center"/>
    </xf>
    <xf numFmtId="9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9" fontId="5" fillId="2" borderId="0" xfId="0" applyNumberFormat="1" applyFont="1" applyFill="1" applyBorder="1" applyAlignment="1">
      <alignment/>
    </xf>
    <xf numFmtId="9" fontId="5" fillId="2" borderId="0" xfId="0" applyNumberFormat="1" applyFont="1" applyFill="1" applyBorder="1" applyAlignment="1">
      <alignment horizontal="right"/>
    </xf>
    <xf numFmtId="0" fontId="0" fillId="0" borderId="5" xfId="0" applyFont="1" applyBorder="1" applyAlignment="1">
      <alignment/>
    </xf>
    <xf numFmtId="9" fontId="0" fillId="0" borderId="5" xfId="0" applyNumberFormat="1" applyFont="1" applyBorder="1" applyAlignment="1">
      <alignment/>
    </xf>
    <xf numFmtId="9" fontId="5" fillId="2" borderId="5" xfId="0" applyNumberFormat="1" applyFont="1" applyFill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3" fontId="5" fillId="2" borderId="0" xfId="0" applyNumberFormat="1" applyFont="1" applyFill="1" applyBorder="1" applyAlignment="1">
      <alignment/>
    </xf>
    <xf numFmtId="3" fontId="0" fillId="0" borderId="6" xfId="0" applyNumberFormat="1" applyFont="1" applyBorder="1" applyAlignment="1">
      <alignment/>
    </xf>
    <xf numFmtId="3" fontId="5" fillId="2" borderId="6" xfId="0" applyNumberFormat="1" applyFont="1" applyFill="1" applyBorder="1" applyAlignment="1">
      <alignment/>
    </xf>
    <xf numFmtId="9" fontId="5" fillId="2" borderId="6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3" fontId="0" fillId="0" borderId="7" xfId="0" applyNumberFormat="1" applyFont="1" applyBorder="1" applyAlignment="1">
      <alignment/>
    </xf>
    <xf numFmtId="0" fontId="5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9" fontId="5" fillId="2" borderId="6" xfId="0" applyNumberFormat="1" applyFont="1" applyFill="1" applyBorder="1" applyAlignment="1">
      <alignment/>
    </xf>
    <xf numFmtId="9" fontId="5" fillId="2" borderId="7" xfId="0" applyNumberFormat="1" applyFont="1" applyFill="1" applyBorder="1" applyAlignment="1">
      <alignment/>
    </xf>
    <xf numFmtId="9" fontId="5" fillId="2" borderId="8" xfId="0" applyNumberFormat="1" applyFont="1" applyFill="1" applyBorder="1" applyAlignment="1">
      <alignment/>
    </xf>
    <xf numFmtId="9" fontId="5" fillId="2" borderId="9" xfId="0" applyNumberFormat="1" applyFont="1" applyFill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6" xfId="0" applyNumberFormat="1" applyFont="1" applyBorder="1" applyAlignment="1">
      <alignment horizontal="right"/>
    </xf>
    <xf numFmtId="3" fontId="5" fillId="2" borderId="9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9" fontId="5" fillId="2" borderId="0" xfId="0" applyNumberFormat="1" applyFont="1" applyFill="1" applyAlignment="1" quotePrefix="1">
      <alignment horizontal="right"/>
    </xf>
    <xf numFmtId="9" fontId="5" fillId="2" borderId="10" xfId="0" applyNumberFormat="1" applyFont="1" applyFill="1" applyBorder="1" applyAlignment="1">
      <alignment/>
    </xf>
    <xf numFmtId="9" fontId="0" fillId="0" borderId="0" xfId="0" applyNumberFormat="1" applyFont="1" applyBorder="1" applyAlignment="1">
      <alignment horizontal="right"/>
    </xf>
    <xf numFmtId="9" fontId="5" fillId="2" borderId="0" xfId="0" applyNumberFormat="1" applyFont="1" applyFill="1" applyBorder="1" applyAlignment="1" quotePrefix="1">
      <alignment horizontal="right"/>
    </xf>
    <xf numFmtId="3" fontId="5" fillId="2" borderId="0" xfId="0" applyNumberFormat="1" applyFont="1" applyFill="1" applyBorder="1" applyAlignment="1">
      <alignment horizontal="right"/>
    </xf>
    <xf numFmtId="0" fontId="5" fillId="2" borderId="11" xfId="0" applyNumberFormat="1" applyFont="1" applyFill="1" applyBorder="1" applyAlignment="1">
      <alignment horizontal="centerContinuous"/>
    </xf>
    <xf numFmtId="0" fontId="5" fillId="2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9" fontId="5" fillId="2" borderId="13" xfId="0" applyNumberFormat="1" applyFont="1" applyFill="1" applyBorder="1" applyAlignment="1">
      <alignment/>
    </xf>
    <xf numFmtId="9" fontId="5" fillId="2" borderId="13" xfId="0" applyNumberFormat="1" applyFont="1" applyFill="1" applyBorder="1" applyAlignment="1" quotePrefix="1">
      <alignment horizontal="right"/>
    </xf>
    <xf numFmtId="3" fontId="5" fillId="2" borderId="0" xfId="0" applyNumberFormat="1" applyFont="1" applyFill="1" applyAlignment="1" quotePrefix="1">
      <alignment horizontal="right"/>
    </xf>
    <xf numFmtId="3" fontId="5" fillId="2" borderId="5" xfId="0" applyNumberFormat="1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0" xfId="0" applyNumberFormat="1" applyFont="1" applyBorder="1" applyAlignment="1">
      <alignment/>
    </xf>
    <xf numFmtId="0" fontId="5" fillId="2" borderId="14" xfId="0" applyFont="1" applyFill="1" applyBorder="1" applyAlignment="1">
      <alignment horizontal="center"/>
    </xf>
    <xf numFmtId="0" fontId="5" fillId="2" borderId="14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9" fontId="5" fillId="2" borderId="15" xfId="0" applyNumberFormat="1" applyFont="1" applyFill="1" applyBorder="1" applyAlignment="1">
      <alignment/>
    </xf>
    <xf numFmtId="9" fontId="5" fillId="2" borderId="15" xfId="0" applyNumberFormat="1" applyFont="1" applyFill="1" applyBorder="1" applyAlignment="1">
      <alignment horizontal="right"/>
    </xf>
    <xf numFmtId="9" fontId="5" fillId="2" borderId="16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5" fillId="2" borderId="17" xfId="0" applyNumberFormat="1" applyFont="1" applyFill="1" applyBorder="1" applyAlignment="1">
      <alignment/>
    </xf>
    <xf numFmtId="3" fontId="5" fillId="2" borderId="17" xfId="0" applyNumberFormat="1" applyFont="1" applyFill="1" applyBorder="1" applyAlignment="1">
      <alignment horizontal="right"/>
    </xf>
    <xf numFmtId="3" fontId="0" fillId="0" borderId="18" xfId="0" applyNumberFormat="1" applyFont="1" applyBorder="1" applyAlignment="1">
      <alignment/>
    </xf>
    <xf numFmtId="3" fontId="5" fillId="2" borderId="15" xfId="0" applyNumberFormat="1" applyFont="1" applyFill="1" applyBorder="1" applyAlignment="1">
      <alignment horizontal="right"/>
    </xf>
    <xf numFmtId="9" fontId="5" fillId="2" borderId="19" xfId="0" applyNumberFormat="1" applyFont="1" applyFill="1" applyBorder="1" applyAlignment="1">
      <alignment/>
    </xf>
    <xf numFmtId="3" fontId="5" fillId="2" borderId="20" xfId="0" applyNumberFormat="1" applyFont="1" applyFill="1" applyBorder="1" applyAlignment="1">
      <alignment/>
    </xf>
    <xf numFmtId="3" fontId="5" fillId="2" borderId="2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Continuous"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Continuous"/>
    </xf>
    <xf numFmtId="0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9" fontId="5" fillId="2" borderId="2" xfId="0" applyNumberFormat="1" applyFont="1" applyFill="1" applyBorder="1" applyAlignment="1">
      <alignment/>
    </xf>
    <xf numFmtId="3" fontId="5" fillId="2" borderId="0" xfId="0" applyNumberFormat="1" applyFont="1" applyFill="1" applyBorder="1" applyAlignment="1" quotePrefix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5" fillId="2" borderId="1" xfId="0" applyNumberFormat="1" applyFont="1" applyFill="1" applyBorder="1" applyAlignment="1">
      <alignment horizontal="centerContinuous"/>
    </xf>
    <xf numFmtId="3" fontId="5" fillId="2" borderId="1" xfId="0" applyNumberFormat="1" applyFont="1" applyFill="1" applyAlignment="1">
      <alignment horizontal="centerContinuous"/>
    </xf>
    <xf numFmtId="3" fontId="5" fillId="2" borderId="22" xfId="0" applyNumberFormat="1" applyFont="1" applyFill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2" xfId="0" applyNumberFormat="1" applyFont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5" fillId="2" borderId="22" xfId="0" applyNumberFormat="1" applyFont="1" applyFill="1" applyBorder="1" applyAlignment="1">
      <alignment/>
    </xf>
    <xf numFmtId="3" fontId="0" fillId="0" borderId="2" xfId="0" applyNumberFormat="1" applyFont="1" applyBorder="1" applyAlignment="1">
      <alignment/>
    </xf>
    <xf numFmtId="3" fontId="5" fillId="2" borderId="23" xfId="0" applyNumberFormat="1" applyFont="1" applyFill="1" applyAlignment="1">
      <alignment horizontal="centerContinuous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5" fillId="2" borderId="15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" fontId="5" fillId="2" borderId="0" xfId="0" applyNumberFormat="1" applyFont="1" applyFill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57"/>
  <sheetViews>
    <sheetView tabSelected="1" showOutlineSymbols="0" zoomScale="87" zoomScaleNormal="87" workbookViewId="0" topLeftCell="A1">
      <selection activeCell="AX13" sqref="AX13"/>
    </sheetView>
  </sheetViews>
  <sheetFormatPr defaultColWidth="9.33203125" defaultRowHeight="11.25"/>
  <cols>
    <col min="1" max="1" width="33.83203125" style="4" customWidth="1"/>
    <col min="2" max="2" width="6.83203125" style="4" customWidth="1"/>
    <col min="3" max="21" width="6.83203125" style="4" hidden="1" customWidth="1"/>
    <col min="22" max="26" width="6.83203125" style="4" customWidth="1"/>
    <col min="27" max="27" width="7.83203125" style="6" customWidth="1"/>
    <col min="28" max="32" width="6.66015625" style="6" hidden="1" customWidth="1"/>
    <col min="33" max="46" width="7.66015625" style="6" hidden="1" customWidth="1"/>
    <col min="47" max="49" width="7.66015625" style="6" customWidth="1"/>
    <col min="50" max="51" width="7.83203125" style="6" customWidth="1"/>
    <col min="52" max="52" width="7.83203125" style="101" customWidth="1"/>
    <col min="53" max="53" width="9.66015625" style="4" hidden="1" customWidth="1"/>
    <col min="54" max="68" width="7.66015625" style="4" hidden="1" customWidth="1"/>
    <col min="69" max="71" width="9.33203125" style="4" hidden="1" customWidth="1"/>
    <col min="72" max="72" width="7.66015625" style="4" hidden="1" customWidth="1"/>
    <col min="73" max="76" width="7.66015625" style="101" hidden="1" customWidth="1"/>
    <col min="77" max="77" width="13.66015625" style="4" hidden="1" customWidth="1"/>
    <col min="78" max="16384" width="13.66015625" style="4" customWidth="1"/>
  </cols>
  <sheetData>
    <row r="1" spans="1:49" ht="12.75" customHeight="1">
      <c r="A1" s="8" t="s">
        <v>99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</row>
    <row r="2" spans="1:49" ht="12.75" customHeight="1">
      <c r="A2" s="8" t="s">
        <v>103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</row>
    <row r="3" spans="1:52" ht="12.7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11"/>
    </row>
    <row r="4" spans="1:74" ht="12.75" customHeight="1" thickTop="1">
      <c r="A4" s="32"/>
      <c r="B4" s="35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08"/>
      <c r="Z4" s="74"/>
      <c r="AA4" s="117" t="s">
        <v>1</v>
      </c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05"/>
      <c r="BA4" s="50" t="s">
        <v>2</v>
      </c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102"/>
      <c r="BV4" s="102"/>
    </row>
    <row r="5" spans="1:77" ht="12.75" customHeight="1">
      <c r="A5" s="24"/>
      <c r="B5" s="86" t="s">
        <v>3</v>
      </c>
      <c r="C5" s="82" t="s">
        <v>3</v>
      </c>
      <c r="D5" s="39" t="s">
        <v>3</v>
      </c>
      <c r="E5" s="39" t="s">
        <v>3</v>
      </c>
      <c r="F5" s="39" t="s">
        <v>3</v>
      </c>
      <c r="G5" s="39" t="s">
        <v>3</v>
      </c>
      <c r="H5" s="39" t="s">
        <v>3</v>
      </c>
      <c r="I5" s="39" t="s">
        <v>3</v>
      </c>
      <c r="J5" s="39" t="s">
        <v>3</v>
      </c>
      <c r="K5" s="39" t="s">
        <v>3</v>
      </c>
      <c r="L5" s="39" t="s">
        <v>3</v>
      </c>
      <c r="M5" s="39" t="s">
        <v>3</v>
      </c>
      <c r="N5" s="39" t="s">
        <v>3</v>
      </c>
      <c r="O5" s="39" t="s">
        <v>3</v>
      </c>
      <c r="P5" s="39" t="s">
        <v>3</v>
      </c>
      <c r="Q5" s="34" t="s">
        <v>3</v>
      </c>
      <c r="R5" s="34" t="s">
        <v>3</v>
      </c>
      <c r="S5" s="58" t="s">
        <v>3</v>
      </c>
      <c r="T5" s="33" t="s">
        <v>3</v>
      </c>
      <c r="U5" s="33" t="s">
        <v>3</v>
      </c>
      <c r="V5" s="33" t="s">
        <v>3</v>
      </c>
      <c r="W5" s="33" t="s">
        <v>3</v>
      </c>
      <c r="X5" s="33" t="s">
        <v>3</v>
      </c>
      <c r="Y5" s="109" t="s">
        <v>3</v>
      </c>
      <c r="Z5" s="75" t="s">
        <v>3</v>
      </c>
      <c r="AA5" s="119" t="s">
        <v>3</v>
      </c>
      <c r="AB5" s="120" t="s">
        <v>3</v>
      </c>
      <c r="AC5" s="121" t="s">
        <v>3</v>
      </c>
      <c r="AD5" s="121" t="s">
        <v>3</v>
      </c>
      <c r="AE5" s="121" t="s">
        <v>3</v>
      </c>
      <c r="AF5" s="121" t="s">
        <v>3</v>
      </c>
      <c r="AG5" s="121" t="s">
        <v>3</v>
      </c>
      <c r="AH5" s="121" t="s">
        <v>3</v>
      </c>
      <c r="AI5" s="121" t="s">
        <v>3</v>
      </c>
      <c r="AJ5" s="121" t="s">
        <v>3</v>
      </c>
      <c r="AK5" s="121" t="s">
        <v>3</v>
      </c>
      <c r="AL5" s="121" t="s">
        <v>3</v>
      </c>
      <c r="AM5" s="121" t="s">
        <v>3</v>
      </c>
      <c r="AN5" s="121" t="s">
        <v>3</v>
      </c>
      <c r="AO5" s="121" t="s">
        <v>3</v>
      </c>
      <c r="AP5" s="121" t="s">
        <v>3</v>
      </c>
      <c r="AQ5" s="121" t="s">
        <v>3</v>
      </c>
      <c r="AR5" s="122" t="s">
        <v>3</v>
      </c>
      <c r="AS5" s="121" t="s">
        <v>3</v>
      </c>
      <c r="AT5" s="121" t="s">
        <v>3</v>
      </c>
      <c r="AU5" s="121" t="s">
        <v>3</v>
      </c>
      <c r="AV5" s="121" t="s">
        <v>3</v>
      </c>
      <c r="AW5" s="121" t="s">
        <v>3</v>
      </c>
      <c r="AX5" s="121" t="s">
        <v>3</v>
      </c>
      <c r="AY5" s="121" t="s">
        <v>3</v>
      </c>
      <c r="AZ5" s="68"/>
      <c r="BA5" s="19" t="s">
        <v>3</v>
      </c>
      <c r="BB5" s="19" t="s">
        <v>3</v>
      </c>
      <c r="BC5" s="19" t="s">
        <v>3</v>
      </c>
      <c r="BD5" s="19" t="s">
        <v>3</v>
      </c>
      <c r="BE5" s="19" t="s">
        <v>3</v>
      </c>
      <c r="BF5" s="19" t="s">
        <v>3</v>
      </c>
      <c r="BG5" s="19" t="s">
        <v>3</v>
      </c>
      <c r="BH5" s="19" t="s">
        <v>3</v>
      </c>
      <c r="BI5" s="19" t="s">
        <v>3</v>
      </c>
      <c r="BJ5" s="19" t="s">
        <v>3</v>
      </c>
      <c r="BK5" s="19" t="s">
        <v>3</v>
      </c>
      <c r="BL5" s="19" t="s">
        <v>3</v>
      </c>
      <c r="BM5" s="19" t="s">
        <v>3</v>
      </c>
      <c r="BN5" s="19" t="s">
        <v>3</v>
      </c>
      <c r="BO5" s="19" t="s">
        <v>3</v>
      </c>
      <c r="BP5" s="19" t="s">
        <v>3</v>
      </c>
      <c r="BQ5" s="19" t="s">
        <v>3</v>
      </c>
      <c r="BR5" s="19" t="s">
        <v>3</v>
      </c>
      <c r="BS5" s="7" t="s">
        <v>4</v>
      </c>
      <c r="BT5" s="18" t="s">
        <v>3</v>
      </c>
      <c r="BU5" s="103" t="s">
        <v>3</v>
      </c>
      <c r="BV5" s="68" t="s">
        <v>3</v>
      </c>
      <c r="BW5" s="68" t="s">
        <v>3</v>
      </c>
      <c r="BX5" s="107" t="s">
        <v>3</v>
      </c>
      <c r="BY5" s="107" t="s">
        <v>3</v>
      </c>
    </row>
    <row r="6" spans="1:77" ht="12.75" customHeight="1">
      <c r="A6" s="15"/>
      <c r="B6" s="128" t="s">
        <v>5</v>
      </c>
      <c r="C6" s="129" t="s">
        <v>6</v>
      </c>
      <c r="D6" s="130" t="s">
        <v>7</v>
      </c>
      <c r="E6" s="130" t="s">
        <v>8</v>
      </c>
      <c r="F6" s="130" t="s">
        <v>9</v>
      </c>
      <c r="G6" s="130" t="s">
        <v>10</v>
      </c>
      <c r="H6" s="130" t="s">
        <v>11</v>
      </c>
      <c r="I6" s="130" t="s">
        <v>12</v>
      </c>
      <c r="J6" s="130" t="s">
        <v>13</v>
      </c>
      <c r="K6" s="130" t="s">
        <v>14</v>
      </c>
      <c r="L6" s="130" t="s">
        <v>15</v>
      </c>
      <c r="M6" s="130" t="s">
        <v>16</v>
      </c>
      <c r="N6" s="130" t="s">
        <v>17</v>
      </c>
      <c r="O6" s="130" t="s">
        <v>18</v>
      </c>
      <c r="P6" s="130" t="s">
        <v>19</v>
      </c>
      <c r="Q6" s="130" t="s">
        <v>20</v>
      </c>
      <c r="R6" s="130" t="s">
        <v>21</v>
      </c>
      <c r="S6" s="131" t="s">
        <v>22</v>
      </c>
      <c r="T6" s="130">
        <v>2000</v>
      </c>
      <c r="U6" s="130">
        <v>2001</v>
      </c>
      <c r="V6" s="130">
        <v>2002</v>
      </c>
      <c r="W6" s="130">
        <v>2003</v>
      </c>
      <c r="X6" s="130">
        <v>2004</v>
      </c>
      <c r="Y6" s="129">
        <v>2005</v>
      </c>
      <c r="Z6" s="132">
        <v>2006</v>
      </c>
      <c r="AA6" s="133" t="s">
        <v>5</v>
      </c>
      <c r="AB6" s="129" t="s">
        <v>6</v>
      </c>
      <c r="AC6" s="130" t="s">
        <v>7</v>
      </c>
      <c r="AD6" s="130" t="s">
        <v>8</v>
      </c>
      <c r="AE6" s="130" t="s">
        <v>9</v>
      </c>
      <c r="AF6" s="130" t="s">
        <v>10</v>
      </c>
      <c r="AG6" s="130" t="s">
        <v>11</v>
      </c>
      <c r="AH6" s="130" t="s">
        <v>12</v>
      </c>
      <c r="AI6" s="130" t="s">
        <v>13</v>
      </c>
      <c r="AJ6" s="130" t="s">
        <v>14</v>
      </c>
      <c r="AK6" s="130" t="s">
        <v>15</v>
      </c>
      <c r="AL6" s="130" t="s">
        <v>16</v>
      </c>
      <c r="AM6" s="130" t="s">
        <v>17</v>
      </c>
      <c r="AN6" s="130" t="s">
        <v>18</v>
      </c>
      <c r="AO6" s="130" t="s">
        <v>19</v>
      </c>
      <c r="AP6" s="130" t="s">
        <v>20</v>
      </c>
      <c r="AQ6" s="130" t="s">
        <v>21</v>
      </c>
      <c r="AR6" s="131" t="s">
        <v>22</v>
      </c>
      <c r="AS6" s="130">
        <v>2000</v>
      </c>
      <c r="AT6" s="130">
        <v>2001</v>
      </c>
      <c r="AU6" s="130">
        <v>2002</v>
      </c>
      <c r="AV6" s="130">
        <v>2003</v>
      </c>
      <c r="AW6" s="130">
        <v>2004</v>
      </c>
      <c r="AX6" s="130">
        <v>2005</v>
      </c>
      <c r="AY6" s="130">
        <v>2006</v>
      </c>
      <c r="AZ6" s="104"/>
      <c r="BA6" s="19" t="s">
        <v>5</v>
      </c>
      <c r="BB6" s="19" t="s">
        <v>6</v>
      </c>
      <c r="BC6" s="19" t="s">
        <v>7</v>
      </c>
      <c r="BD6" s="19" t="s">
        <v>8</v>
      </c>
      <c r="BE6" s="19" t="s">
        <v>9</v>
      </c>
      <c r="BF6" s="19" t="s">
        <v>10</v>
      </c>
      <c r="BG6" s="19" t="s">
        <v>11</v>
      </c>
      <c r="BH6" s="19" t="s">
        <v>12</v>
      </c>
      <c r="BI6" s="19" t="s">
        <v>13</v>
      </c>
      <c r="BJ6" s="4">
        <v>1991</v>
      </c>
      <c r="BK6" s="19" t="s">
        <v>15</v>
      </c>
      <c r="BL6" s="19" t="s">
        <v>16</v>
      </c>
      <c r="BM6" s="19" t="s">
        <v>17</v>
      </c>
      <c r="BN6" s="19" t="s">
        <v>18</v>
      </c>
      <c r="BO6" s="19" t="s">
        <v>19</v>
      </c>
      <c r="BP6" s="19" t="s">
        <v>20</v>
      </c>
      <c r="BQ6" s="18" t="s">
        <v>21</v>
      </c>
      <c r="BR6" s="18" t="s">
        <v>22</v>
      </c>
      <c r="BS6" s="7">
        <v>2000</v>
      </c>
      <c r="BT6" s="18">
        <v>2001</v>
      </c>
      <c r="BU6" s="103">
        <v>2002</v>
      </c>
      <c r="BV6" s="104">
        <v>2003</v>
      </c>
      <c r="BW6" s="104">
        <v>2004</v>
      </c>
      <c r="BX6" s="101">
        <v>2005</v>
      </c>
      <c r="BY6" s="4">
        <v>2006</v>
      </c>
    </row>
    <row r="7" spans="1:61" ht="12.75" customHeight="1">
      <c r="A7" s="29"/>
      <c r="B7" s="87"/>
      <c r="C7" s="83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12"/>
      <c r="R7" s="12"/>
      <c r="S7" s="59"/>
      <c r="T7" s="12"/>
      <c r="U7" s="12"/>
      <c r="V7" s="12"/>
      <c r="W7" s="12"/>
      <c r="X7" s="12"/>
      <c r="Y7" s="110"/>
      <c r="Z7" s="76"/>
      <c r="AA7" s="123"/>
      <c r="AB7" s="124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65"/>
      <c r="AS7" s="28"/>
      <c r="AT7" s="28"/>
      <c r="AU7" s="28"/>
      <c r="AV7" s="28"/>
      <c r="AW7" s="28"/>
      <c r="AX7" s="28"/>
      <c r="AY7" s="28"/>
      <c r="AZ7" s="84"/>
      <c r="BA7" s="22" t="s">
        <v>23</v>
      </c>
      <c r="BB7" s="22" t="s">
        <v>23</v>
      </c>
      <c r="BC7" s="22" t="s">
        <v>23</v>
      </c>
      <c r="BD7" s="22" t="s">
        <v>23</v>
      </c>
      <c r="BE7" s="22" t="s">
        <v>23</v>
      </c>
      <c r="BF7" s="22" t="s">
        <v>23</v>
      </c>
      <c r="BG7" s="22" t="s">
        <v>23</v>
      </c>
      <c r="BH7" s="22" t="s">
        <v>23</v>
      </c>
      <c r="BI7" s="22" t="s">
        <v>23</v>
      </c>
    </row>
    <row r="8" spans="1:49" ht="33.75" customHeight="1">
      <c r="A8" s="3" t="s">
        <v>24</v>
      </c>
      <c r="B8" s="88"/>
      <c r="C8" s="8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15"/>
      <c r="R8" s="15"/>
      <c r="S8" s="60"/>
      <c r="T8" s="15"/>
      <c r="U8" s="15"/>
      <c r="V8" s="15"/>
      <c r="W8" s="15"/>
      <c r="X8" s="15"/>
      <c r="Y8" s="111"/>
      <c r="Z8" s="77"/>
      <c r="AA8" s="94"/>
      <c r="AB8" s="92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53"/>
      <c r="AS8" s="26"/>
      <c r="AT8" s="26"/>
      <c r="AU8" s="26"/>
      <c r="AV8" s="26"/>
      <c r="AW8" s="26"/>
    </row>
    <row r="9" spans="1:49" ht="12.75" customHeight="1">
      <c r="A9" s="3"/>
      <c r="B9" s="88"/>
      <c r="C9" s="8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15"/>
      <c r="R9" s="15"/>
      <c r="S9" s="60"/>
      <c r="T9" s="15"/>
      <c r="U9" s="15"/>
      <c r="V9" s="15"/>
      <c r="W9" s="15"/>
      <c r="X9" s="15"/>
      <c r="Y9" s="111"/>
      <c r="Z9" s="77"/>
      <c r="AA9" s="94"/>
      <c r="AB9" s="92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53"/>
      <c r="AS9" s="26"/>
      <c r="AT9" s="26"/>
      <c r="AU9" s="26"/>
      <c r="AV9" s="26"/>
      <c r="AW9" s="26"/>
    </row>
    <row r="10" spans="1:77" ht="12.75" customHeight="1">
      <c r="A10" s="9" t="s">
        <v>25</v>
      </c>
      <c r="B10" s="89">
        <v>0.7125603864734299</v>
      </c>
      <c r="C10" s="85">
        <v>0.6631299734748011</v>
      </c>
      <c r="D10" s="25">
        <v>0.6885106382978723</v>
      </c>
      <c r="E10" s="25">
        <v>0.7103866565579985</v>
      </c>
      <c r="F10" s="25">
        <v>0.7219796215429404</v>
      </c>
      <c r="G10" s="25">
        <v>0.7230193387398628</v>
      </c>
      <c r="H10" s="25">
        <v>0.7692753623188405</v>
      </c>
      <c r="I10" s="25">
        <v>0.7368718238283456</v>
      </c>
      <c r="J10" s="25">
        <v>0.7420172326406488</v>
      </c>
      <c r="K10" s="25">
        <v>0.7166666666666667</v>
      </c>
      <c r="L10" s="25">
        <v>0.7608695652173914</v>
      </c>
      <c r="M10" s="25">
        <v>0.7207586933614331</v>
      </c>
      <c r="N10" s="25">
        <v>0.7006260671599317</v>
      </c>
      <c r="O10" s="25">
        <v>0.7108721624850657</v>
      </c>
      <c r="P10" s="25">
        <v>0.6993615786419036</v>
      </c>
      <c r="Q10" s="17">
        <v>0.6940559440559441</v>
      </c>
      <c r="R10" s="17">
        <v>0.6853025936599424</v>
      </c>
      <c r="S10" s="61">
        <v>0.6974885844748858</v>
      </c>
      <c r="T10" s="17">
        <v>0.7226158038147139</v>
      </c>
      <c r="U10" s="17">
        <v>0.7329515877147319</v>
      </c>
      <c r="V10" s="17">
        <f aca="true" t="shared" si="0" ref="V10:V23">+AU10/BU10</f>
        <v>0.7510162601626016</v>
      </c>
      <c r="W10" s="17">
        <f aca="true" t="shared" si="1" ref="W10:W23">+AV10/BV10</f>
        <v>0.7697540554683412</v>
      </c>
      <c r="X10" s="17">
        <f aca="true" t="shared" si="2" ref="X10:X23">+AW10/BW10</f>
        <v>0.7034267912772586</v>
      </c>
      <c r="Y10" s="43">
        <f aca="true" t="shared" si="3" ref="Y10:Y23">+AX10/BX10</f>
        <v>0.7087845968712395</v>
      </c>
      <c r="Z10" s="78">
        <f aca="true" t="shared" si="4" ref="Z10:Z23">SUM(AY10/BY10)</f>
        <v>0.7039614561027837</v>
      </c>
      <c r="AA10" s="94">
        <v>885</v>
      </c>
      <c r="AB10" s="92">
        <v>750</v>
      </c>
      <c r="AC10" s="26">
        <v>809</v>
      </c>
      <c r="AD10" s="26">
        <v>937</v>
      </c>
      <c r="AE10" s="26">
        <v>992</v>
      </c>
      <c r="AF10" s="26">
        <v>1159</v>
      </c>
      <c r="AG10" s="26">
        <v>1327</v>
      </c>
      <c r="AH10" s="26">
        <v>1305</v>
      </c>
      <c r="AI10" s="26">
        <v>1464</v>
      </c>
      <c r="AJ10" s="26">
        <v>1419</v>
      </c>
      <c r="AK10" s="26">
        <v>1505</v>
      </c>
      <c r="AL10" s="26">
        <v>1368</v>
      </c>
      <c r="AM10" s="26">
        <v>1231</v>
      </c>
      <c r="AN10" s="26">
        <v>1190</v>
      </c>
      <c r="AO10" s="26">
        <v>1205</v>
      </c>
      <c r="AP10" s="26">
        <v>1191</v>
      </c>
      <c r="AQ10" s="26">
        <v>1189</v>
      </c>
      <c r="AR10" s="53">
        <v>1222</v>
      </c>
      <c r="AS10" s="26">
        <v>1326</v>
      </c>
      <c r="AT10" s="26">
        <v>1408</v>
      </c>
      <c r="AU10" s="26">
        <v>1478</v>
      </c>
      <c r="AV10" s="26">
        <v>1471</v>
      </c>
      <c r="AW10" s="26">
        <v>1129</v>
      </c>
      <c r="AX10" s="6">
        <v>1178</v>
      </c>
      <c r="AY10" s="115">
        <v>1315</v>
      </c>
      <c r="AZ10" s="106"/>
      <c r="BA10" s="4">
        <v>1242</v>
      </c>
      <c r="BB10" s="4">
        <v>1131</v>
      </c>
      <c r="BC10" s="4">
        <v>1175</v>
      </c>
      <c r="BD10" s="4">
        <v>1319</v>
      </c>
      <c r="BE10" s="4">
        <v>1374</v>
      </c>
      <c r="BF10" s="4">
        <v>1603</v>
      </c>
      <c r="BG10" s="4">
        <v>1725</v>
      </c>
      <c r="BH10" s="4">
        <v>1771</v>
      </c>
      <c r="BI10" s="4">
        <f>1464+509</f>
        <v>1973</v>
      </c>
      <c r="BJ10" s="4">
        <f>561+1419</f>
        <v>1980</v>
      </c>
      <c r="BK10" s="4">
        <f>1505+473</f>
        <v>1978</v>
      </c>
      <c r="BL10" s="4">
        <f>1368+530</f>
        <v>1898</v>
      </c>
      <c r="BM10" s="4">
        <f>526+1231</f>
        <v>1757</v>
      </c>
      <c r="BN10" s="4">
        <f>484+1190</f>
        <v>1674</v>
      </c>
      <c r="BO10" s="4">
        <f>518+1205</f>
        <v>1723</v>
      </c>
      <c r="BP10" s="4">
        <f>1191+525</f>
        <v>1716</v>
      </c>
      <c r="BQ10" s="7">
        <f>1189+546</f>
        <v>1735</v>
      </c>
      <c r="BR10" s="7">
        <f>1222+530</f>
        <v>1752</v>
      </c>
      <c r="BS10" s="7">
        <v>1835</v>
      </c>
      <c r="BT10" s="7">
        <v>1921</v>
      </c>
      <c r="BU10" s="101">
        <v>1968</v>
      </c>
      <c r="BV10" s="101">
        <v>1911</v>
      </c>
      <c r="BW10" s="101">
        <v>1605</v>
      </c>
      <c r="BX10" s="101">
        <v>1662</v>
      </c>
      <c r="BY10" s="114">
        <v>1868</v>
      </c>
    </row>
    <row r="11" spans="1:77" ht="12.75" customHeight="1">
      <c r="A11" s="9" t="s">
        <v>26</v>
      </c>
      <c r="B11" s="89">
        <v>0.46857567869096317</v>
      </c>
      <c r="C11" s="85">
        <v>0.5124395300621977</v>
      </c>
      <c r="D11" s="25">
        <v>0.5232124703490342</v>
      </c>
      <c r="E11" s="25">
        <v>0.5453176753989762</v>
      </c>
      <c r="F11" s="25">
        <v>0.5591311343523733</v>
      </c>
      <c r="G11" s="25">
        <v>0.5569007263922519</v>
      </c>
      <c r="H11" s="25">
        <v>0.5887714181553044</v>
      </c>
      <c r="I11" s="25">
        <v>0.5870777304034109</v>
      </c>
      <c r="J11" s="25">
        <v>0.60790273556231</v>
      </c>
      <c r="K11" s="25">
        <v>0.5969275786393563</v>
      </c>
      <c r="L11" s="25">
        <v>0.5926569089555942</v>
      </c>
      <c r="M11" s="25">
        <v>0.6017112889870273</v>
      </c>
      <c r="N11" s="25">
        <v>0.591116173120729</v>
      </c>
      <c r="O11" s="25">
        <v>0.5862767805442964</v>
      </c>
      <c r="P11" s="25">
        <v>0.6163141993957704</v>
      </c>
      <c r="Q11" s="17">
        <v>0.6099967116080237</v>
      </c>
      <c r="R11" s="17">
        <v>0.6029869321717486</v>
      </c>
      <c r="S11" s="61">
        <v>0.5993426949507021</v>
      </c>
      <c r="T11" s="17">
        <v>0.5948610696145802</v>
      </c>
      <c r="U11" s="17">
        <v>0.6023409363745498</v>
      </c>
      <c r="V11" s="17">
        <f t="shared" si="0"/>
        <v>0.6135187580853816</v>
      </c>
      <c r="W11" s="17">
        <f t="shared" si="1"/>
        <v>0.6070971867007673</v>
      </c>
      <c r="X11" s="17">
        <f t="shared" si="2"/>
        <v>0.5993893129770992</v>
      </c>
      <c r="Y11" s="43">
        <f t="shared" si="3"/>
        <v>0.6116352201257862</v>
      </c>
      <c r="Z11" s="78">
        <f t="shared" si="4"/>
        <v>0.6082506203473945</v>
      </c>
      <c r="AA11" s="94">
        <v>1260</v>
      </c>
      <c r="AB11" s="92">
        <v>1483</v>
      </c>
      <c r="AC11" s="26">
        <v>1544</v>
      </c>
      <c r="AD11" s="26">
        <v>1811</v>
      </c>
      <c r="AE11" s="26">
        <v>1390</v>
      </c>
      <c r="AF11" s="26">
        <v>1380</v>
      </c>
      <c r="AG11" s="26">
        <v>1615</v>
      </c>
      <c r="AH11" s="26">
        <v>1790</v>
      </c>
      <c r="AI11" s="26">
        <v>2200</v>
      </c>
      <c r="AJ11" s="26">
        <v>2448</v>
      </c>
      <c r="AK11" s="26">
        <v>2389</v>
      </c>
      <c r="AL11" s="26">
        <v>2180</v>
      </c>
      <c r="AM11" s="26">
        <v>2076</v>
      </c>
      <c r="AN11" s="26">
        <v>2025</v>
      </c>
      <c r="AO11" s="26">
        <v>1836</v>
      </c>
      <c r="AP11" s="26">
        <v>1855</v>
      </c>
      <c r="AQ11" s="26">
        <v>1938</v>
      </c>
      <c r="AR11" s="53">
        <v>2006</v>
      </c>
      <c r="AS11" s="26">
        <v>1991</v>
      </c>
      <c r="AT11" s="26">
        <v>2007</v>
      </c>
      <c r="AU11" s="26">
        <v>1897</v>
      </c>
      <c r="AV11" s="26">
        <v>1899</v>
      </c>
      <c r="AW11" s="26">
        <v>1963</v>
      </c>
      <c r="AX11" s="6">
        <v>1945</v>
      </c>
      <c r="AY11" s="115">
        <v>1961</v>
      </c>
      <c r="AZ11" s="106"/>
      <c r="BA11" s="4">
        <v>2689</v>
      </c>
      <c r="BB11" s="4">
        <v>2894</v>
      </c>
      <c r="BC11" s="4">
        <v>2951</v>
      </c>
      <c r="BD11" s="4">
        <v>3321</v>
      </c>
      <c r="BE11" s="4">
        <v>2486</v>
      </c>
      <c r="BF11" s="4">
        <v>2478</v>
      </c>
      <c r="BG11" s="4">
        <f>1128+1615</f>
        <v>2743</v>
      </c>
      <c r="BH11" s="4">
        <f>1259+1790</f>
        <v>3049</v>
      </c>
      <c r="BI11" s="4">
        <v>3619</v>
      </c>
      <c r="BJ11" s="4">
        <f>1653+2448</f>
        <v>4101</v>
      </c>
      <c r="BK11" s="4">
        <f>1642+2389</f>
        <v>4031</v>
      </c>
      <c r="BL11" s="4">
        <f>2180+1443</f>
        <v>3623</v>
      </c>
      <c r="BM11" s="4">
        <v>3512</v>
      </c>
      <c r="BN11" s="4">
        <f>1429+2025</f>
        <v>3454</v>
      </c>
      <c r="BO11" s="4">
        <f>1143+1836</f>
        <v>2979</v>
      </c>
      <c r="BP11" s="4">
        <f>1855+1186</f>
        <v>3041</v>
      </c>
      <c r="BQ11" s="7">
        <f>1938+1276</f>
        <v>3214</v>
      </c>
      <c r="BR11" s="7">
        <f>1341+2006</f>
        <v>3347</v>
      </c>
      <c r="BS11" s="7">
        <v>3347</v>
      </c>
      <c r="BT11" s="7">
        <v>3332</v>
      </c>
      <c r="BU11" s="101">
        <v>3092</v>
      </c>
      <c r="BV11" s="101">
        <v>3128</v>
      </c>
      <c r="BW11" s="101">
        <v>3275</v>
      </c>
      <c r="BX11" s="101">
        <v>3180</v>
      </c>
      <c r="BY11" s="114">
        <v>3224</v>
      </c>
    </row>
    <row r="12" spans="1:77" ht="12.75" customHeight="1">
      <c r="A12" s="9" t="s">
        <v>27</v>
      </c>
      <c r="B12" s="89">
        <v>0.5355658198614319</v>
      </c>
      <c r="C12" s="85">
        <v>0.5300872760679834</v>
      </c>
      <c r="D12" s="25">
        <v>0.5454545454545454</v>
      </c>
      <c r="E12" s="25">
        <v>0.5500110399646722</v>
      </c>
      <c r="F12" s="25">
        <v>0.5581344902386117</v>
      </c>
      <c r="G12" s="25">
        <v>0.574299634591961</v>
      </c>
      <c r="H12" s="25">
        <v>0.5671724648408586</v>
      </c>
      <c r="I12" s="25">
        <v>0.5748178274868666</v>
      </c>
      <c r="J12" s="25">
        <v>0.5736369680851063</v>
      </c>
      <c r="K12" s="25">
        <v>0.5714523373814673</v>
      </c>
      <c r="L12" s="25">
        <v>0.5669893020886398</v>
      </c>
      <c r="M12" s="25">
        <v>0.5656547829156371</v>
      </c>
      <c r="N12" s="25">
        <v>0.557180352455943</v>
      </c>
      <c r="O12" s="25">
        <v>0.5530122688152354</v>
      </c>
      <c r="P12" s="25">
        <v>0.5599087105363256</v>
      </c>
      <c r="Q12" s="17">
        <v>0.5635369188696445</v>
      </c>
      <c r="R12" s="17">
        <v>0.5812150712096629</v>
      </c>
      <c r="S12" s="61">
        <v>0.566625376039639</v>
      </c>
      <c r="T12" s="17">
        <v>0.5675021607605877</v>
      </c>
      <c r="U12" s="17">
        <v>0.5704356670622139</v>
      </c>
      <c r="V12" s="17">
        <f t="shared" si="0"/>
        <v>0.5857834659287444</v>
      </c>
      <c r="W12" s="17">
        <f t="shared" si="1"/>
        <v>0.5948243992606285</v>
      </c>
      <c r="X12" s="17">
        <f t="shared" si="2"/>
        <v>0.603310502283105</v>
      </c>
      <c r="Y12" s="43">
        <f t="shared" si="3"/>
        <v>0.5976612461173031</v>
      </c>
      <c r="Z12" s="78">
        <f t="shared" si="4"/>
        <v>0.590917282393224</v>
      </c>
      <c r="AA12" s="94">
        <v>2319</v>
      </c>
      <c r="AB12" s="92">
        <v>2308</v>
      </c>
      <c r="AC12" s="26">
        <v>2358</v>
      </c>
      <c r="AD12" s="26">
        <v>2491</v>
      </c>
      <c r="AE12" s="26">
        <v>2573</v>
      </c>
      <c r="AF12" s="26">
        <v>2829</v>
      </c>
      <c r="AG12" s="26">
        <v>3065</v>
      </c>
      <c r="AH12" s="26">
        <v>3392</v>
      </c>
      <c r="AI12" s="26">
        <v>3451</v>
      </c>
      <c r="AJ12" s="26">
        <v>3435</v>
      </c>
      <c r="AK12" s="26">
        <v>3339</v>
      </c>
      <c r="AL12" s="26">
        <v>3205</v>
      </c>
      <c r="AM12" s="26">
        <v>2972</v>
      </c>
      <c r="AN12" s="26">
        <v>3020</v>
      </c>
      <c r="AO12" s="26">
        <v>2944</v>
      </c>
      <c r="AP12" s="26">
        <v>3091</v>
      </c>
      <c r="AQ12" s="26">
        <v>3224</v>
      </c>
      <c r="AR12" s="53">
        <v>3202</v>
      </c>
      <c r="AS12" s="26">
        <v>3283</v>
      </c>
      <c r="AT12" s="26">
        <v>3365</v>
      </c>
      <c r="AU12" s="26">
        <v>3387</v>
      </c>
      <c r="AV12" s="26">
        <v>3218</v>
      </c>
      <c r="AW12" s="26">
        <v>3171</v>
      </c>
      <c r="AX12" s="6">
        <v>3271</v>
      </c>
      <c r="AY12" s="115">
        <v>3279</v>
      </c>
      <c r="AZ12" s="106"/>
      <c r="BA12" s="4">
        <v>4330</v>
      </c>
      <c r="BB12" s="4">
        <v>4354</v>
      </c>
      <c r="BC12" s="4">
        <v>4323</v>
      </c>
      <c r="BD12" s="4">
        <v>4529</v>
      </c>
      <c r="BE12" s="4">
        <v>4610</v>
      </c>
      <c r="BF12" s="4">
        <v>4926</v>
      </c>
      <c r="BG12" s="4">
        <v>5404</v>
      </c>
      <c r="BH12" s="4">
        <v>5901</v>
      </c>
      <c r="BI12" s="4">
        <f>2565+3451</f>
        <v>6016</v>
      </c>
      <c r="BJ12" s="4">
        <f>2576+3435</f>
        <v>6011</v>
      </c>
      <c r="BK12" s="4">
        <f>3339+2550</f>
        <v>5889</v>
      </c>
      <c r="BL12" s="4">
        <f>3205+2461</f>
        <v>5666</v>
      </c>
      <c r="BM12" s="4">
        <f>2362+2972</f>
        <v>5334</v>
      </c>
      <c r="BN12" s="4">
        <f>3020+2441</f>
        <v>5461</v>
      </c>
      <c r="BO12" s="4">
        <f>2944+2314</f>
        <v>5258</v>
      </c>
      <c r="BP12" s="4">
        <f>3091+2394</f>
        <v>5485</v>
      </c>
      <c r="BQ12" s="7">
        <f>3224+2323</f>
        <v>5547</v>
      </c>
      <c r="BR12" s="7">
        <f>3202+2449</f>
        <v>5651</v>
      </c>
      <c r="BS12" s="7">
        <v>5785</v>
      </c>
      <c r="BT12" s="7">
        <v>5899</v>
      </c>
      <c r="BU12" s="101">
        <v>5782</v>
      </c>
      <c r="BV12" s="101">
        <v>5410</v>
      </c>
      <c r="BW12" s="101">
        <v>5256</v>
      </c>
      <c r="BX12" s="101">
        <v>5473</v>
      </c>
      <c r="BY12" s="114">
        <v>5549</v>
      </c>
    </row>
    <row r="13" spans="1:77" ht="12.75" customHeight="1">
      <c r="A13" s="9" t="s">
        <v>101</v>
      </c>
      <c r="B13" s="89">
        <v>0.53306815883503</v>
      </c>
      <c r="C13" s="85">
        <v>0.5317367734852124</v>
      </c>
      <c r="D13" s="25">
        <v>0.5347031335898845</v>
      </c>
      <c r="E13" s="25">
        <v>0.54472253908609</v>
      </c>
      <c r="F13" s="25">
        <v>0.5469047462745356</v>
      </c>
      <c r="G13" s="25">
        <v>0.544979794839913</v>
      </c>
      <c r="H13" s="25">
        <v>0.5441020816182524</v>
      </c>
      <c r="I13" s="25">
        <v>0.5427904705052369</v>
      </c>
      <c r="J13" s="25">
        <v>0.5453285420944558</v>
      </c>
      <c r="K13" s="25">
        <v>0.5442473338802297</v>
      </c>
      <c r="L13" s="25">
        <v>0.5429428481212504</v>
      </c>
      <c r="M13" s="25">
        <v>0.5448237885462555</v>
      </c>
      <c r="N13" s="25">
        <v>0.5464471403812825</v>
      </c>
      <c r="O13" s="25">
        <v>0.5578806496745544</v>
      </c>
      <c r="P13" s="25">
        <v>0.5656929846003422</v>
      </c>
      <c r="Q13" s="17">
        <v>0.5654602866164683</v>
      </c>
      <c r="R13" s="17">
        <v>0.5612123377396689</v>
      </c>
      <c r="S13" s="61">
        <v>0.5644697492523579</v>
      </c>
      <c r="T13" s="17">
        <v>0.5667401005479298</v>
      </c>
      <c r="U13" s="17">
        <v>0.5626780626780626</v>
      </c>
      <c r="V13" s="17">
        <f t="shared" si="0"/>
        <v>0.5729244577412117</v>
      </c>
      <c r="W13" s="17">
        <f t="shared" si="1"/>
        <v>0.5732171156893819</v>
      </c>
      <c r="X13" s="17">
        <f t="shared" si="2"/>
        <v>0.5739248718217014</v>
      </c>
      <c r="Y13" s="43">
        <f t="shared" si="3"/>
        <v>0.5695266272189349</v>
      </c>
      <c r="Z13" s="78">
        <f t="shared" si="4"/>
        <v>0.570923092933708</v>
      </c>
      <c r="AA13" s="94">
        <v>7907</v>
      </c>
      <c r="AB13" s="92">
        <v>7749</v>
      </c>
      <c r="AC13" s="26">
        <v>7781</v>
      </c>
      <c r="AD13" s="26">
        <v>8118</v>
      </c>
      <c r="AE13" s="26">
        <v>8331</v>
      </c>
      <c r="AF13" s="26">
        <v>8766</v>
      </c>
      <c r="AG13" s="26">
        <v>9253</v>
      </c>
      <c r="AH13" s="26">
        <v>10002</v>
      </c>
      <c r="AI13" s="26">
        <v>10623</v>
      </c>
      <c r="AJ13" s="26">
        <v>10615</v>
      </c>
      <c r="AK13" s="26">
        <v>10317</v>
      </c>
      <c r="AL13" s="26">
        <v>9894</v>
      </c>
      <c r="AM13" s="26">
        <v>9459</v>
      </c>
      <c r="AN13" s="26">
        <v>9171</v>
      </c>
      <c r="AO13" s="26">
        <v>9257</v>
      </c>
      <c r="AP13" s="26">
        <v>9312</v>
      </c>
      <c r="AQ13" s="26">
        <v>9425</v>
      </c>
      <c r="AR13" s="53">
        <v>9815</v>
      </c>
      <c r="AS13" s="26">
        <v>10033</v>
      </c>
      <c r="AT13" s="26">
        <v>10270</v>
      </c>
      <c r="AU13" s="26">
        <v>10724</v>
      </c>
      <c r="AV13" s="26">
        <v>10851</v>
      </c>
      <c r="AW13" s="26">
        <v>10970</v>
      </c>
      <c r="AX13" s="6">
        <v>10780</v>
      </c>
      <c r="AY13" s="115">
        <v>10972</v>
      </c>
      <c r="AZ13" s="106"/>
      <c r="BA13" s="4">
        <v>14833</v>
      </c>
      <c r="BB13" s="4">
        <v>14573</v>
      </c>
      <c r="BC13" s="4">
        <v>14552</v>
      </c>
      <c r="BD13" s="4">
        <v>14903</v>
      </c>
      <c r="BE13" s="4">
        <v>15233</v>
      </c>
      <c r="BF13" s="4">
        <v>16085</v>
      </c>
      <c r="BG13" s="4">
        <v>17006</v>
      </c>
      <c r="BH13" s="4">
        <v>18427</v>
      </c>
      <c r="BI13" s="4">
        <f>8857+10623</f>
        <v>19480</v>
      </c>
      <c r="BJ13" s="4">
        <f>8889+10615</f>
        <v>19504</v>
      </c>
      <c r="BK13" s="4">
        <f>8685+10317</f>
        <v>19002</v>
      </c>
      <c r="BL13" s="4">
        <f>9894+8266</f>
        <v>18160</v>
      </c>
      <c r="BM13" s="4">
        <f>9459+7851</f>
        <v>17310</v>
      </c>
      <c r="BN13" s="4">
        <f>9171+7268</f>
        <v>16439</v>
      </c>
      <c r="BO13" s="4">
        <f>7107+9257</f>
        <v>16364</v>
      </c>
      <c r="BP13" s="4">
        <f>7156+9312</f>
        <v>16468</v>
      </c>
      <c r="BQ13" s="7">
        <f>7369+9425</f>
        <v>16794</v>
      </c>
      <c r="BR13" s="7">
        <f>7573+9815</f>
        <v>17388</v>
      </c>
      <c r="BS13" s="7">
        <v>17703</v>
      </c>
      <c r="BT13" s="7">
        <v>18252</v>
      </c>
      <c r="BU13" s="101">
        <v>18718</v>
      </c>
      <c r="BV13" s="101">
        <v>18930</v>
      </c>
      <c r="BW13" s="101">
        <v>19114</v>
      </c>
      <c r="BX13" s="101">
        <v>18928</v>
      </c>
      <c r="BY13" s="114">
        <v>19218</v>
      </c>
    </row>
    <row r="14" spans="1:77" ht="12.75" customHeight="1">
      <c r="A14" s="9" t="s">
        <v>28</v>
      </c>
      <c r="B14" s="89">
        <v>0.5282930265320498</v>
      </c>
      <c r="C14" s="85">
        <v>0.5356044475987698</v>
      </c>
      <c r="D14" s="25">
        <v>0.5509953305480462</v>
      </c>
      <c r="E14" s="25">
        <v>0.5693887775551102</v>
      </c>
      <c r="F14" s="25">
        <v>0.587018360486165</v>
      </c>
      <c r="G14" s="25">
        <v>0.5952868852459017</v>
      </c>
      <c r="H14" s="25">
        <v>0.6086211119275042</v>
      </c>
      <c r="I14" s="25">
        <v>0.6063454759106933</v>
      </c>
      <c r="J14" s="25">
        <v>0.6024149286498354</v>
      </c>
      <c r="K14" s="25">
        <v>0.6071133167907361</v>
      </c>
      <c r="L14" s="25">
        <v>0.6069513406156901</v>
      </c>
      <c r="M14" s="25">
        <v>0.604228413357044</v>
      </c>
      <c r="N14" s="25">
        <v>0.609064039408867</v>
      </c>
      <c r="O14" s="25">
        <v>0.613016367887763</v>
      </c>
      <c r="P14" s="25">
        <v>0.6175715695952616</v>
      </c>
      <c r="Q14" s="17">
        <v>0.6209992193598751</v>
      </c>
      <c r="R14" s="17">
        <v>0.6084523350057893</v>
      </c>
      <c r="S14" s="61">
        <v>0.6098506883847198</v>
      </c>
      <c r="T14" s="17">
        <v>0.608764000786009</v>
      </c>
      <c r="U14" s="17">
        <v>0.6076048608388868</v>
      </c>
      <c r="V14" s="17">
        <f t="shared" si="0"/>
        <v>0.6090051953049836</v>
      </c>
      <c r="W14" s="17">
        <f t="shared" si="1"/>
        <v>0.6020698051948052</v>
      </c>
      <c r="X14" s="17">
        <f t="shared" si="2"/>
        <v>0.5986179664363277</v>
      </c>
      <c r="Y14" s="43">
        <f t="shared" si="3"/>
        <v>0.6021341463414634</v>
      </c>
      <c r="Z14" s="78">
        <f t="shared" si="4"/>
        <v>0.5923047763457164</v>
      </c>
      <c r="AA14" s="94">
        <v>2250</v>
      </c>
      <c r="AB14" s="92">
        <v>2264</v>
      </c>
      <c r="AC14" s="26">
        <v>2242</v>
      </c>
      <c r="AD14" s="26">
        <v>2273</v>
      </c>
      <c r="AE14" s="26">
        <v>2270</v>
      </c>
      <c r="AF14" s="26">
        <v>2324</v>
      </c>
      <c r="AG14" s="26">
        <v>2485</v>
      </c>
      <c r="AH14" s="26">
        <v>2580</v>
      </c>
      <c r="AI14" s="26">
        <v>2744</v>
      </c>
      <c r="AJ14" s="26">
        <v>2936</v>
      </c>
      <c r="AK14" s="26">
        <v>3056</v>
      </c>
      <c r="AL14" s="26">
        <v>3058</v>
      </c>
      <c r="AM14" s="26">
        <v>3091</v>
      </c>
      <c r="AN14" s="26">
        <v>3146</v>
      </c>
      <c r="AO14" s="26">
        <v>3128</v>
      </c>
      <c r="AP14" s="26">
        <v>3182</v>
      </c>
      <c r="AQ14" s="26">
        <v>3153</v>
      </c>
      <c r="AR14" s="53">
        <v>3145</v>
      </c>
      <c r="AS14" s="26">
        <v>3098</v>
      </c>
      <c r="AT14" s="26">
        <v>3100</v>
      </c>
      <c r="AU14" s="26">
        <v>3165</v>
      </c>
      <c r="AV14" s="26">
        <v>2967</v>
      </c>
      <c r="AW14" s="26">
        <v>3032</v>
      </c>
      <c r="AX14" s="6">
        <v>3160</v>
      </c>
      <c r="AY14" s="115">
        <v>3125</v>
      </c>
      <c r="AZ14" s="106"/>
      <c r="BA14" s="4">
        <v>4259</v>
      </c>
      <c r="BB14" s="4">
        <v>4227</v>
      </c>
      <c r="BC14" s="4">
        <v>4069</v>
      </c>
      <c r="BD14" s="4">
        <v>3992</v>
      </c>
      <c r="BE14" s="4">
        <v>3867</v>
      </c>
      <c r="BF14" s="4">
        <v>3904</v>
      </c>
      <c r="BG14" s="4">
        <v>4083</v>
      </c>
      <c r="BH14" s="4">
        <v>4255</v>
      </c>
      <c r="BI14" s="4">
        <f>1811+2744</f>
        <v>4555</v>
      </c>
      <c r="BJ14" s="4">
        <f>1900+2936</f>
        <v>4836</v>
      </c>
      <c r="BK14" s="4">
        <f>1979+3056</f>
        <v>5035</v>
      </c>
      <c r="BL14" s="4">
        <f>2003+3058</f>
        <v>5061</v>
      </c>
      <c r="BM14" s="4">
        <f>3091+1984</f>
        <v>5075</v>
      </c>
      <c r="BN14" s="4">
        <f>1986+3146</f>
        <v>5132</v>
      </c>
      <c r="BO14" s="4">
        <f>3128+1937</f>
        <v>5065</v>
      </c>
      <c r="BP14" s="4">
        <f>3182+1942</f>
        <v>5124</v>
      </c>
      <c r="BQ14" s="7">
        <f>2029+3153</f>
        <v>5182</v>
      </c>
      <c r="BR14" s="7">
        <f>3145+2012</f>
        <v>5157</v>
      </c>
      <c r="BS14" s="7">
        <v>5089</v>
      </c>
      <c r="BT14" s="7">
        <v>5102</v>
      </c>
      <c r="BU14" s="101">
        <v>5197</v>
      </c>
      <c r="BV14" s="101">
        <v>4928</v>
      </c>
      <c r="BW14" s="101">
        <v>5065</v>
      </c>
      <c r="BX14" s="101">
        <v>5248</v>
      </c>
      <c r="BY14" s="114">
        <v>5276</v>
      </c>
    </row>
    <row r="15" spans="1:77" ht="12.75" customHeight="1">
      <c r="A15" s="9" t="s">
        <v>29</v>
      </c>
      <c r="B15" s="89">
        <v>0.5258</v>
      </c>
      <c r="C15" s="85">
        <v>0.5213708124759338</v>
      </c>
      <c r="D15" s="25">
        <v>0.5078407720144753</v>
      </c>
      <c r="E15" s="25">
        <v>0.5113022604520904</v>
      </c>
      <c r="F15" s="25">
        <v>0.5293273174733388</v>
      </c>
      <c r="G15" s="25">
        <v>0.5408866995073892</v>
      </c>
      <c r="H15" s="25">
        <v>0.5402298850574713</v>
      </c>
      <c r="I15" s="25">
        <v>0.5722523744911805</v>
      </c>
      <c r="J15" s="25">
        <v>0.568685376661743</v>
      </c>
      <c r="K15" s="25">
        <v>0.5585450921773791</v>
      </c>
      <c r="L15" s="25">
        <v>0.5599522428790722</v>
      </c>
      <c r="M15" s="25">
        <v>0.5646328852119958</v>
      </c>
      <c r="N15" s="25">
        <v>0.5724045992334611</v>
      </c>
      <c r="O15" s="25">
        <v>0.5792991035044824</v>
      </c>
      <c r="P15" s="25">
        <v>0.5862964767007631</v>
      </c>
      <c r="Q15" s="17">
        <v>0.5802547770700637</v>
      </c>
      <c r="R15" s="17">
        <v>0.592151255163648</v>
      </c>
      <c r="S15" s="61">
        <v>0.5979572887650882</v>
      </c>
      <c r="T15" s="17">
        <v>0.5802545793231916</v>
      </c>
      <c r="U15" s="17">
        <v>0.5827924528301887</v>
      </c>
      <c r="V15" s="17">
        <f t="shared" si="0"/>
        <v>0.5821307952103162</v>
      </c>
      <c r="W15" s="17">
        <f t="shared" si="1"/>
        <v>0.5822938850015211</v>
      </c>
      <c r="X15" s="17">
        <f t="shared" si="2"/>
        <v>0.5839486356340289</v>
      </c>
      <c r="Y15" s="43">
        <f t="shared" si="3"/>
        <v>0.572692793931732</v>
      </c>
      <c r="Z15" s="78">
        <f t="shared" si="4"/>
        <v>0.5695289971163089</v>
      </c>
      <c r="AA15" s="94">
        <v>2629</v>
      </c>
      <c r="AB15" s="92">
        <v>2708</v>
      </c>
      <c r="AC15" s="26">
        <v>2526</v>
      </c>
      <c r="AD15" s="26">
        <v>2556</v>
      </c>
      <c r="AE15" s="26">
        <v>2581</v>
      </c>
      <c r="AF15" s="26">
        <v>2745</v>
      </c>
      <c r="AG15" s="26">
        <v>2867</v>
      </c>
      <c r="AH15" s="26">
        <v>3374</v>
      </c>
      <c r="AI15" s="26">
        <v>3465</v>
      </c>
      <c r="AJ15" s="26">
        <v>3363</v>
      </c>
      <c r="AK15" s="26">
        <v>3283</v>
      </c>
      <c r="AL15" s="26">
        <v>3276</v>
      </c>
      <c r="AM15" s="26">
        <v>3435</v>
      </c>
      <c r="AN15" s="26">
        <v>3554</v>
      </c>
      <c r="AO15" s="26">
        <v>3611</v>
      </c>
      <c r="AP15" s="26">
        <v>3644</v>
      </c>
      <c r="AQ15" s="26">
        <v>3727</v>
      </c>
      <c r="AR15" s="53">
        <v>3864</v>
      </c>
      <c r="AS15" s="26">
        <v>3738</v>
      </c>
      <c r="AT15" s="26">
        <v>3861</v>
      </c>
      <c r="AU15" s="26">
        <v>3792</v>
      </c>
      <c r="AV15" s="26">
        <v>3828</v>
      </c>
      <c r="AW15" s="26">
        <v>3638</v>
      </c>
      <c r="AX15" s="6">
        <v>3624</v>
      </c>
      <c r="AY15" s="115">
        <v>3555</v>
      </c>
      <c r="AZ15" s="106"/>
      <c r="BA15" s="4">
        <v>5000</v>
      </c>
      <c r="BB15" s="4">
        <v>5194</v>
      </c>
      <c r="BC15" s="4">
        <v>4974</v>
      </c>
      <c r="BD15" s="4">
        <v>4999</v>
      </c>
      <c r="BE15" s="4">
        <v>4876</v>
      </c>
      <c r="BF15" s="4">
        <v>5075</v>
      </c>
      <c r="BG15" s="4">
        <v>5307</v>
      </c>
      <c r="BH15" s="4">
        <v>5896</v>
      </c>
      <c r="BI15" s="4">
        <f>2628+3465</f>
        <v>6093</v>
      </c>
      <c r="BJ15" s="4">
        <f>2658+3363</f>
        <v>6021</v>
      </c>
      <c r="BK15" s="4">
        <f>3283+2580</f>
        <v>5863</v>
      </c>
      <c r="BL15" s="4">
        <f>3276+2526</f>
        <v>5802</v>
      </c>
      <c r="BM15" s="4">
        <f>2566+3435</f>
        <v>6001</v>
      </c>
      <c r="BN15" s="4">
        <f>2581+3554</f>
        <v>6135</v>
      </c>
      <c r="BO15" s="4">
        <f>3611+2548</f>
        <v>6159</v>
      </c>
      <c r="BP15" s="4">
        <f>2636+3644</f>
        <v>6280</v>
      </c>
      <c r="BQ15" s="7">
        <f>3727+2567</f>
        <v>6294</v>
      </c>
      <c r="BR15" s="7">
        <f>3864+2598</f>
        <v>6462</v>
      </c>
      <c r="BS15" s="7">
        <v>6442</v>
      </c>
      <c r="BT15" s="7">
        <v>6625</v>
      </c>
      <c r="BU15" s="101">
        <v>6514</v>
      </c>
      <c r="BV15" s="101">
        <v>6574</v>
      </c>
      <c r="BW15" s="101">
        <v>6230</v>
      </c>
      <c r="BX15" s="101">
        <v>6328</v>
      </c>
      <c r="BY15" s="114">
        <v>6242</v>
      </c>
    </row>
    <row r="16" spans="1:77" ht="12.75" customHeight="1">
      <c r="A16" s="9" t="s">
        <v>30</v>
      </c>
      <c r="B16" s="89">
        <v>0.5507833899419305</v>
      </c>
      <c r="C16" s="85">
        <v>0.5370064885076432</v>
      </c>
      <c r="D16" s="25">
        <v>0.5402111219936881</v>
      </c>
      <c r="E16" s="25">
        <v>0.5372046809450209</v>
      </c>
      <c r="F16" s="25">
        <v>0.5506912442396313</v>
      </c>
      <c r="G16" s="25">
        <v>0.5555555555555556</v>
      </c>
      <c r="H16" s="25">
        <v>0.5741626794258373</v>
      </c>
      <c r="I16" s="25">
        <v>0.5757042253521126</v>
      </c>
      <c r="J16" s="25">
        <v>0.5859561413475741</v>
      </c>
      <c r="K16" s="25">
        <v>0.5770909926470589</v>
      </c>
      <c r="L16" s="25">
        <v>0.5700402939085091</v>
      </c>
      <c r="M16" s="25">
        <v>0.5830445544554456</v>
      </c>
      <c r="N16" s="25">
        <v>0.5943693978033077</v>
      </c>
      <c r="O16" s="25">
        <v>0.5965236686390533</v>
      </c>
      <c r="P16" s="25">
        <v>0.6020445418035779</v>
      </c>
      <c r="Q16" s="17">
        <v>0.610982869639169</v>
      </c>
      <c r="R16" s="17">
        <v>0.6156474608224343</v>
      </c>
      <c r="S16" s="61">
        <v>0.6214600022565723</v>
      </c>
      <c r="T16" s="17">
        <v>0.6040455967814037</v>
      </c>
      <c r="U16" s="17">
        <v>0.6192768506632434</v>
      </c>
      <c r="V16" s="17">
        <f t="shared" si="0"/>
        <v>0.6109304521137102</v>
      </c>
      <c r="W16" s="17">
        <f t="shared" si="1"/>
        <v>0.5992685475444096</v>
      </c>
      <c r="X16" s="17">
        <f t="shared" si="2"/>
        <v>0.6105044201768071</v>
      </c>
      <c r="Y16" s="43">
        <f t="shared" si="3"/>
        <v>0.6150855365474339</v>
      </c>
      <c r="Z16" s="78">
        <f t="shared" si="4"/>
        <v>0.63200688731586</v>
      </c>
      <c r="AA16" s="94">
        <v>5027</v>
      </c>
      <c r="AB16" s="92">
        <v>4883</v>
      </c>
      <c r="AC16" s="26">
        <v>4964</v>
      </c>
      <c r="AD16" s="26">
        <v>4866</v>
      </c>
      <c r="AE16" s="26">
        <v>5019</v>
      </c>
      <c r="AF16" s="26">
        <v>4720</v>
      </c>
      <c r="AG16" s="26">
        <v>5040</v>
      </c>
      <c r="AH16" s="26">
        <v>4905</v>
      </c>
      <c r="AI16" s="26">
        <v>5157</v>
      </c>
      <c r="AJ16" s="26">
        <v>5023</v>
      </c>
      <c r="AK16" s="26">
        <v>4810</v>
      </c>
      <c r="AL16" s="26">
        <v>4711</v>
      </c>
      <c r="AM16" s="26">
        <v>4708</v>
      </c>
      <c r="AN16" s="26">
        <v>4839</v>
      </c>
      <c r="AO16" s="26">
        <v>4947</v>
      </c>
      <c r="AP16" s="26">
        <v>5029</v>
      </c>
      <c r="AQ16" s="26">
        <v>5225</v>
      </c>
      <c r="AR16" s="53">
        <v>5508</v>
      </c>
      <c r="AS16" s="26">
        <v>5405</v>
      </c>
      <c r="AT16" s="26">
        <v>5789</v>
      </c>
      <c r="AU16" s="26">
        <v>5824</v>
      </c>
      <c r="AV16" s="26">
        <v>5735</v>
      </c>
      <c r="AW16" s="26">
        <v>5870</v>
      </c>
      <c r="AX16" s="6">
        <v>6328</v>
      </c>
      <c r="AY16" s="115">
        <v>6607</v>
      </c>
      <c r="AZ16" s="106"/>
      <c r="BA16" s="4">
        <v>9127</v>
      </c>
      <c r="BB16" s="4">
        <v>9093</v>
      </c>
      <c r="BC16" s="4">
        <v>9189</v>
      </c>
      <c r="BD16" s="4">
        <v>9058</v>
      </c>
      <c r="BE16" s="4">
        <v>9114</v>
      </c>
      <c r="BF16" s="4">
        <v>8496</v>
      </c>
      <c r="BG16" s="4">
        <v>8778</v>
      </c>
      <c r="BH16" s="4">
        <v>8520</v>
      </c>
      <c r="BI16" s="4">
        <f>3644+5157</f>
        <v>8801</v>
      </c>
      <c r="BJ16" s="4">
        <f>3681+5023</f>
        <v>8704</v>
      </c>
      <c r="BK16" s="4">
        <f>3628+4810</f>
        <v>8438</v>
      </c>
      <c r="BL16" s="4">
        <f>4711+3369</f>
        <v>8080</v>
      </c>
      <c r="BM16" s="4">
        <f>4708+3213</f>
        <v>7921</v>
      </c>
      <c r="BN16" s="4">
        <f>4839+3273</f>
        <v>8112</v>
      </c>
      <c r="BO16" s="4">
        <f>3270+4947</f>
        <v>8217</v>
      </c>
      <c r="BP16" s="4">
        <f>5029+3202</f>
        <v>8231</v>
      </c>
      <c r="BQ16" s="7">
        <f>5225+3262</f>
        <v>8487</v>
      </c>
      <c r="BR16" s="7">
        <f>5508+3355</f>
        <v>8863</v>
      </c>
      <c r="BS16" s="7">
        <v>8948</v>
      </c>
      <c r="BT16" s="7">
        <v>9348</v>
      </c>
      <c r="BU16" s="101">
        <v>9533</v>
      </c>
      <c r="BV16" s="101">
        <v>9570</v>
      </c>
      <c r="BW16" s="101">
        <v>9615</v>
      </c>
      <c r="BX16" s="101">
        <v>10288</v>
      </c>
      <c r="BY16" s="114">
        <v>10454</v>
      </c>
    </row>
    <row r="17" spans="1:77" ht="12.75" customHeight="1">
      <c r="A17" s="9" t="s">
        <v>31</v>
      </c>
      <c r="B17" s="89">
        <v>0.559902550874176</v>
      </c>
      <c r="C17" s="85">
        <v>0.565223386651958</v>
      </c>
      <c r="D17" s="25">
        <v>0.5688622754491018</v>
      </c>
      <c r="E17" s="25">
        <v>0.5639382464316924</v>
      </c>
      <c r="F17" s="25">
        <v>0.576073187895848</v>
      </c>
      <c r="G17" s="25">
        <v>0.5610519724483406</v>
      </c>
      <c r="H17" s="25">
        <v>0.5728306589811497</v>
      </c>
      <c r="I17" s="25">
        <v>0.5830994699095728</v>
      </c>
      <c r="J17" s="25">
        <v>0.5655990895789302</v>
      </c>
      <c r="K17" s="25">
        <v>0.5627096980348298</v>
      </c>
      <c r="L17" s="25">
        <v>0.5733717394783165</v>
      </c>
      <c r="M17" s="25">
        <v>0.5766755611363993</v>
      </c>
      <c r="N17" s="25">
        <v>0.5746627384090557</v>
      </c>
      <c r="O17" s="25">
        <v>0.576793893129771</v>
      </c>
      <c r="P17" s="25">
        <v>0.5795139956936327</v>
      </c>
      <c r="Q17" s="17">
        <v>0.5862015262420184</v>
      </c>
      <c r="R17" s="17">
        <v>0.5899984469638142</v>
      </c>
      <c r="S17" s="61">
        <v>0.5886786401539449</v>
      </c>
      <c r="T17" s="17">
        <v>0.5904107347406317</v>
      </c>
      <c r="U17" s="17">
        <v>0.5878434637801832</v>
      </c>
      <c r="V17" s="17">
        <f t="shared" si="0"/>
        <v>0.5970524200301457</v>
      </c>
      <c r="W17" s="17">
        <f t="shared" si="1"/>
        <v>0.5993485342019544</v>
      </c>
      <c r="X17" s="17">
        <f t="shared" si="2"/>
        <v>0.5961667787491594</v>
      </c>
      <c r="Y17" s="43">
        <f t="shared" si="3"/>
        <v>0.587825199795953</v>
      </c>
      <c r="Z17" s="78">
        <f t="shared" si="4"/>
        <v>0.5891752577319588</v>
      </c>
      <c r="AA17" s="94">
        <v>3907</v>
      </c>
      <c r="AB17" s="92">
        <v>4099</v>
      </c>
      <c r="AC17" s="26">
        <v>4180</v>
      </c>
      <c r="AD17" s="26">
        <v>3872</v>
      </c>
      <c r="AE17" s="26">
        <v>4093</v>
      </c>
      <c r="AF17" s="26">
        <v>3584</v>
      </c>
      <c r="AG17" s="26">
        <v>3677</v>
      </c>
      <c r="AH17" s="26">
        <v>3740</v>
      </c>
      <c r="AI17" s="26">
        <v>3479</v>
      </c>
      <c r="AJ17" s="26">
        <v>3522</v>
      </c>
      <c r="AK17" s="26">
        <v>3583</v>
      </c>
      <c r="AL17" s="26">
        <v>3674</v>
      </c>
      <c r="AM17" s="26">
        <v>3706</v>
      </c>
      <c r="AN17" s="26">
        <v>3778</v>
      </c>
      <c r="AO17" s="26">
        <v>3768</v>
      </c>
      <c r="AP17" s="26">
        <v>3764</v>
      </c>
      <c r="AQ17" s="26">
        <v>3799</v>
      </c>
      <c r="AR17" s="53">
        <v>3671</v>
      </c>
      <c r="AS17" s="26">
        <v>3608</v>
      </c>
      <c r="AT17" s="26">
        <v>3530</v>
      </c>
      <c r="AU17" s="26">
        <v>3565</v>
      </c>
      <c r="AV17" s="26">
        <v>3496</v>
      </c>
      <c r="AW17" s="26">
        <v>3546</v>
      </c>
      <c r="AX17" s="6">
        <v>3457</v>
      </c>
      <c r="AY17" s="115">
        <v>3429</v>
      </c>
      <c r="AZ17" s="106"/>
      <c r="BA17" s="4">
        <v>6978</v>
      </c>
      <c r="BB17" s="4">
        <v>7252</v>
      </c>
      <c r="BC17" s="4">
        <v>7348</v>
      </c>
      <c r="BD17" s="4">
        <v>6866</v>
      </c>
      <c r="BE17" s="4">
        <v>7105</v>
      </c>
      <c r="BF17" s="4">
        <v>6388</v>
      </c>
      <c r="BG17" s="4">
        <v>6419</v>
      </c>
      <c r="BH17" s="4">
        <v>6414</v>
      </c>
      <c r="BI17" s="4">
        <f>3479+2672</f>
        <v>6151</v>
      </c>
      <c r="BJ17" s="4">
        <f>2737+3522</f>
        <v>6259</v>
      </c>
      <c r="BK17" s="4">
        <f>2666+3583</f>
        <v>6249</v>
      </c>
      <c r="BL17" s="4">
        <f>2697+3674</f>
        <v>6371</v>
      </c>
      <c r="BM17" s="4">
        <f>3706+2743</f>
        <v>6449</v>
      </c>
      <c r="BN17" s="4">
        <f>3778+2772</f>
        <v>6550</v>
      </c>
      <c r="BO17" s="4">
        <f>3768+2734</f>
        <v>6502</v>
      </c>
      <c r="BP17" s="4">
        <f>3764+2657</f>
        <v>6421</v>
      </c>
      <c r="BQ17" s="7">
        <f>3799+2640</f>
        <v>6439</v>
      </c>
      <c r="BR17" s="7">
        <f>3671+2565</f>
        <v>6236</v>
      </c>
      <c r="BS17" s="7">
        <v>6111</v>
      </c>
      <c r="BT17" s="7">
        <v>6005</v>
      </c>
      <c r="BU17" s="101">
        <v>5971</v>
      </c>
      <c r="BV17" s="101">
        <v>5833</v>
      </c>
      <c r="BW17" s="101">
        <v>5948</v>
      </c>
      <c r="BX17" s="101">
        <v>5881</v>
      </c>
      <c r="BY17" s="114">
        <v>5820</v>
      </c>
    </row>
    <row r="18" spans="1:77" ht="12.75" customHeight="1">
      <c r="A18" s="9" t="s">
        <v>104</v>
      </c>
      <c r="B18" s="89">
        <v>0.5041974309699605</v>
      </c>
      <c r="C18" s="85">
        <v>0.49151130090615563</v>
      </c>
      <c r="D18" s="25">
        <v>0.4883617329323978</v>
      </c>
      <c r="E18" s="25">
        <v>0.5069719986396101</v>
      </c>
      <c r="F18" s="25">
        <v>0.5066430469441984</v>
      </c>
      <c r="G18" s="25">
        <v>0.5116883116883116</v>
      </c>
      <c r="H18" s="25">
        <v>0.5155384006334125</v>
      </c>
      <c r="I18" s="25">
        <v>0.5190049015074447</v>
      </c>
      <c r="J18" s="25">
        <v>0.5223554116720623</v>
      </c>
      <c r="K18" s="25">
        <v>0.5222442130625592</v>
      </c>
      <c r="L18" s="25">
        <v>0.5217952024761413</v>
      </c>
      <c r="M18" s="25">
        <v>0.5273887608580039</v>
      </c>
      <c r="N18" s="25">
        <v>0.5329939842665433</v>
      </c>
      <c r="O18" s="25">
        <v>0.5413204273582322</v>
      </c>
      <c r="P18" s="25">
        <v>0.542246982358403</v>
      </c>
      <c r="Q18" s="17">
        <v>0.5506782945736434</v>
      </c>
      <c r="R18" s="17">
        <v>0.5519836476818731</v>
      </c>
      <c r="S18" s="61">
        <v>0.5494767762070865</v>
      </c>
      <c r="T18" s="17">
        <v>0.5477322604242868</v>
      </c>
      <c r="U18" s="17">
        <v>0.5464793938273886</v>
      </c>
      <c r="V18" s="17">
        <f t="shared" si="0"/>
        <v>0.5502763502375643</v>
      </c>
      <c r="W18" s="17">
        <f t="shared" si="1"/>
        <v>0.552507004154188</v>
      </c>
      <c r="X18" s="17">
        <f t="shared" si="2"/>
        <v>0.5663118097701721</v>
      </c>
      <c r="Y18" s="43">
        <f t="shared" si="3"/>
        <v>0.5753489249339871</v>
      </c>
      <c r="Z18" s="78">
        <f t="shared" si="4"/>
        <v>0.5736159088787228</v>
      </c>
      <c r="AA18" s="94">
        <v>4985</v>
      </c>
      <c r="AB18" s="92">
        <v>4719</v>
      </c>
      <c r="AC18" s="26">
        <v>4385</v>
      </c>
      <c r="AD18" s="26">
        <v>4472</v>
      </c>
      <c r="AE18" s="26">
        <v>4576</v>
      </c>
      <c r="AF18" s="26">
        <v>4728</v>
      </c>
      <c r="AG18" s="26">
        <v>5209</v>
      </c>
      <c r="AH18" s="26">
        <v>5612</v>
      </c>
      <c r="AI18" s="26">
        <v>5970</v>
      </c>
      <c r="AJ18" s="26">
        <v>6069</v>
      </c>
      <c r="AK18" s="26">
        <v>6069</v>
      </c>
      <c r="AL18" s="26">
        <v>5950</v>
      </c>
      <c r="AM18" s="26">
        <v>5759</v>
      </c>
      <c r="AN18" s="26">
        <v>5928</v>
      </c>
      <c r="AO18" s="26">
        <v>5840</v>
      </c>
      <c r="AP18" s="26">
        <v>5683</v>
      </c>
      <c r="AQ18" s="26">
        <v>5941</v>
      </c>
      <c r="AR18" s="53">
        <v>5986</v>
      </c>
      <c r="AS18" s="26">
        <v>5990</v>
      </c>
      <c r="AT18" s="26">
        <v>5914</v>
      </c>
      <c r="AU18" s="26">
        <v>5675</v>
      </c>
      <c r="AV18" s="26">
        <v>5719</v>
      </c>
      <c r="AW18" s="26">
        <v>5692</v>
      </c>
      <c r="AX18" s="6">
        <v>6101</v>
      </c>
      <c r="AY18" s="115">
        <v>6144</v>
      </c>
      <c r="AZ18" s="106"/>
      <c r="BA18" s="4">
        <v>9887</v>
      </c>
      <c r="BB18" s="4">
        <v>9601</v>
      </c>
      <c r="BC18" s="4">
        <v>8979</v>
      </c>
      <c r="BD18" s="4">
        <v>8821</v>
      </c>
      <c r="BE18" s="4">
        <v>9032</v>
      </c>
      <c r="BF18" s="4">
        <v>9240</v>
      </c>
      <c r="BG18" s="4">
        <v>10104</v>
      </c>
      <c r="BH18" s="4">
        <v>10813</v>
      </c>
      <c r="BI18" s="4">
        <f>5970+5459</f>
        <v>11429</v>
      </c>
      <c r="BJ18" s="4">
        <f>5552+6069</f>
        <v>11621</v>
      </c>
      <c r="BK18" s="4">
        <f>5562+6069</f>
        <v>11631</v>
      </c>
      <c r="BL18" s="4">
        <f>5950+5332</f>
        <v>11282</v>
      </c>
      <c r="BM18" s="4">
        <f>5046+5759</f>
        <v>10805</v>
      </c>
      <c r="BN18" s="4">
        <f>5928+5023</f>
        <v>10951</v>
      </c>
      <c r="BO18" s="4">
        <v>10770</v>
      </c>
      <c r="BP18" s="4">
        <f>4637+5683</f>
        <v>10320</v>
      </c>
      <c r="BQ18" s="7">
        <f>5941+4822</f>
        <v>10763</v>
      </c>
      <c r="BR18" s="7">
        <f>5986+4908</f>
        <v>10894</v>
      </c>
      <c r="BS18" s="7">
        <v>10936</v>
      </c>
      <c r="BT18" s="7">
        <v>10822</v>
      </c>
      <c r="BU18" s="101">
        <v>10313</v>
      </c>
      <c r="BV18" s="101">
        <f>5719+4632</f>
        <v>10351</v>
      </c>
      <c r="BW18" s="101">
        <v>10051</v>
      </c>
      <c r="BX18" s="101">
        <v>10604</v>
      </c>
      <c r="BY18" s="114">
        <v>10711</v>
      </c>
    </row>
    <row r="19" spans="1:77" ht="12.75" customHeight="1">
      <c r="A19" s="9" t="s">
        <v>32</v>
      </c>
      <c r="B19" s="89">
        <v>0.4714724293289741</v>
      </c>
      <c r="C19" s="85">
        <v>0.4713903192584964</v>
      </c>
      <c r="D19" s="25">
        <v>0.47678609285562856</v>
      </c>
      <c r="E19" s="25">
        <v>0.47867401397144965</v>
      </c>
      <c r="F19" s="25">
        <v>0.48611783341400094</v>
      </c>
      <c r="G19" s="25">
        <v>0.4899381479222929</v>
      </c>
      <c r="H19" s="25">
        <v>0.48536150712830956</v>
      </c>
      <c r="I19" s="25">
        <v>0.48907328294446273</v>
      </c>
      <c r="J19" s="25">
        <v>0.493675936639668</v>
      </c>
      <c r="K19" s="25">
        <v>0.4977970006871741</v>
      </c>
      <c r="L19" s="25">
        <v>0.49957319675629536</v>
      </c>
      <c r="M19" s="25">
        <v>0.49543307086614174</v>
      </c>
      <c r="N19" s="25">
        <v>0.509402480270575</v>
      </c>
      <c r="O19" s="25">
        <v>0.5152979066022544</v>
      </c>
      <c r="P19" s="25">
        <v>0.5200941427239221</v>
      </c>
      <c r="Q19" s="17">
        <v>0.5174707343029443</v>
      </c>
      <c r="R19" s="17">
        <v>0.5205443371378402</v>
      </c>
      <c r="S19" s="61">
        <v>0.5221107719145225</v>
      </c>
      <c r="T19" s="17">
        <v>0.5247758376592733</v>
      </c>
      <c r="U19" s="17">
        <v>0.5221616596949339</v>
      </c>
      <c r="V19" s="17">
        <f t="shared" si="0"/>
        <v>0.5276374215280968</v>
      </c>
      <c r="W19" s="17">
        <f t="shared" si="1"/>
        <v>0.5241186345831002</v>
      </c>
      <c r="X19" s="17">
        <f t="shared" si="2"/>
        <v>0.5239788171684627</v>
      </c>
      <c r="Y19" s="43">
        <f t="shared" si="3"/>
        <v>0.5294307196562835</v>
      </c>
      <c r="Z19" s="78">
        <f t="shared" si="4"/>
        <v>0.5288461538461539</v>
      </c>
      <c r="AA19" s="94">
        <v>11825</v>
      </c>
      <c r="AB19" s="92">
        <v>11443</v>
      </c>
      <c r="AC19" s="26">
        <v>11245</v>
      </c>
      <c r="AD19" s="26">
        <v>11032</v>
      </c>
      <c r="AE19" s="26">
        <v>11048</v>
      </c>
      <c r="AF19" s="26">
        <v>11248</v>
      </c>
      <c r="AG19" s="26">
        <v>11439</v>
      </c>
      <c r="AH19" s="26">
        <v>11906</v>
      </c>
      <c r="AI19" s="26">
        <v>12373</v>
      </c>
      <c r="AJ19" s="26">
        <v>12315</v>
      </c>
      <c r="AK19" s="26">
        <v>11705</v>
      </c>
      <c r="AL19" s="26">
        <v>11011</v>
      </c>
      <c r="AM19" s="26">
        <v>11296</v>
      </c>
      <c r="AN19" s="26">
        <v>11520</v>
      </c>
      <c r="AO19" s="26">
        <v>11712</v>
      </c>
      <c r="AP19" s="26">
        <v>11670</v>
      </c>
      <c r="AQ19" s="26">
        <v>11858</v>
      </c>
      <c r="AR19" s="53">
        <v>11972</v>
      </c>
      <c r="AS19" s="26">
        <v>12232</v>
      </c>
      <c r="AT19" s="26">
        <v>12358</v>
      </c>
      <c r="AU19" s="26">
        <v>13784</v>
      </c>
      <c r="AV19" s="26">
        <v>14049</v>
      </c>
      <c r="AW19" s="26">
        <v>14149</v>
      </c>
      <c r="AX19" s="6">
        <v>14787</v>
      </c>
      <c r="AY19" s="115">
        <v>14905</v>
      </c>
      <c r="AZ19" s="106"/>
      <c r="BA19" s="4">
        <v>25081</v>
      </c>
      <c r="BB19" s="4">
        <v>24275</v>
      </c>
      <c r="BC19" s="4">
        <v>23585</v>
      </c>
      <c r="BD19" s="4">
        <v>23047</v>
      </c>
      <c r="BE19" s="4">
        <v>22727</v>
      </c>
      <c r="BF19" s="4">
        <v>22958</v>
      </c>
      <c r="BG19" s="4">
        <v>23568</v>
      </c>
      <c r="BH19" s="4">
        <v>24344</v>
      </c>
      <c r="BI19" s="4">
        <f>12690+12373</f>
        <v>25063</v>
      </c>
      <c r="BJ19" s="4">
        <f>12315+12424</f>
        <v>24739</v>
      </c>
      <c r="BK19" s="4">
        <f>11725+11705</f>
        <v>23430</v>
      </c>
      <c r="BL19" s="4">
        <f>11011+11214</f>
        <v>22225</v>
      </c>
      <c r="BM19" s="4">
        <f>11296+10879</f>
        <v>22175</v>
      </c>
      <c r="BN19" s="4">
        <f>11520+10836</f>
        <v>22356</v>
      </c>
      <c r="BO19" s="4">
        <f>10807+11712</f>
        <v>22519</v>
      </c>
      <c r="BP19" s="4">
        <f>10882+11670</f>
        <v>22552</v>
      </c>
      <c r="BQ19" s="7">
        <f>11858+10922</f>
        <v>22780</v>
      </c>
      <c r="BR19" s="7">
        <f>11972+10958</f>
        <v>22930</v>
      </c>
      <c r="BS19" s="7">
        <v>23309</v>
      </c>
      <c r="BT19" s="7">
        <v>23667</v>
      </c>
      <c r="BU19" s="101">
        <v>26124</v>
      </c>
      <c r="BV19" s="101">
        <v>26805</v>
      </c>
      <c r="BW19" s="101">
        <v>27003</v>
      </c>
      <c r="BX19" s="101">
        <v>27930</v>
      </c>
      <c r="BY19" s="114">
        <v>28184</v>
      </c>
    </row>
    <row r="20" spans="1:77" ht="12.75" customHeight="1">
      <c r="A20" s="9" t="s">
        <v>33</v>
      </c>
      <c r="B20" s="89">
        <v>0.5066689321213151</v>
      </c>
      <c r="C20" s="85">
        <v>0.519572025052192</v>
      </c>
      <c r="D20" s="25">
        <v>0.5251221214235868</v>
      </c>
      <c r="E20" s="25">
        <v>0.5405451887522573</v>
      </c>
      <c r="F20" s="25">
        <v>0.5450228783562117</v>
      </c>
      <c r="G20" s="25">
        <v>0.5591609589041096</v>
      </c>
      <c r="H20" s="25">
        <v>0.5574475404196766</v>
      </c>
      <c r="I20" s="25">
        <v>0.5613298337707786</v>
      </c>
      <c r="J20" s="25">
        <v>0.5683612811640494</v>
      </c>
      <c r="K20" s="25">
        <v>0.5618783045075724</v>
      </c>
      <c r="L20" s="25">
        <v>0.5586805224520927</v>
      </c>
      <c r="M20" s="25">
        <v>0.548995739500913</v>
      </c>
      <c r="N20" s="25">
        <v>0.551395302148163</v>
      </c>
      <c r="O20" s="25">
        <v>0.5582329317269076</v>
      </c>
      <c r="P20" s="25">
        <v>0.5637987958826957</v>
      </c>
      <c r="Q20" s="17">
        <v>0.567502872462658</v>
      </c>
      <c r="R20" s="17">
        <v>0.5735155513666352</v>
      </c>
      <c r="S20" s="61">
        <v>0.5797881576662615</v>
      </c>
      <c r="T20" s="17">
        <v>0.5814135715405109</v>
      </c>
      <c r="U20" s="17">
        <v>0.5813092759657645</v>
      </c>
      <c r="V20" s="17">
        <f t="shared" si="0"/>
        <v>0.5914559469778834</v>
      </c>
      <c r="W20" s="17">
        <f t="shared" si="1"/>
        <v>0.5965837199493884</v>
      </c>
      <c r="X20" s="17">
        <f t="shared" si="2"/>
        <v>0.5906986531986532</v>
      </c>
      <c r="Y20" s="43">
        <f t="shared" si="3"/>
        <v>0.5847658979734451</v>
      </c>
      <c r="Z20" s="78">
        <f t="shared" si="4"/>
        <v>0.5793991416309013</v>
      </c>
      <c r="AA20" s="94">
        <v>5964</v>
      </c>
      <c r="AB20" s="92">
        <v>5973</v>
      </c>
      <c r="AC20" s="26">
        <v>6020</v>
      </c>
      <c r="AD20" s="26">
        <v>6286</v>
      </c>
      <c r="AE20" s="26">
        <v>6313</v>
      </c>
      <c r="AF20" s="26">
        <v>6531</v>
      </c>
      <c r="AG20" s="26">
        <v>6482</v>
      </c>
      <c r="AH20" s="26">
        <v>6416</v>
      </c>
      <c r="AI20" s="26">
        <v>6406</v>
      </c>
      <c r="AJ20" s="26">
        <v>6270</v>
      </c>
      <c r="AK20" s="26">
        <v>5860</v>
      </c>
      <c r="AL20" s="26">
        <v>5412</v>
      </c>
      <c r="AM20" s="26">
        <v>5493</v>
      </c>
      <c r="AN20" s="26">
        <v>5699</v>
      </c>
      <c r="AO20" s="26">
        <v>5806</v>
      </c>
      <c r="AP20" s="26">
        <v>5927</v>
      </c>
      <c r="AQ20" s="26">
        <v>6085</v>
      </c>
      <c r="AR20" s="53">
        <v>6678</v>
      </c>
      <c r="AS20" s="26">
        <v>7420</v>
      </c>
      <c r="AT20" s="26">
        <v>7539</v>
      </c>
      <c r="AU20" s="26">
        <v>8210</v>
      </c>
      <c r="AV20" s="26">
        <v>8487</v>
      </c>
      <c r="AW20" s="26">
        <v>8421</v>
      </c>
      <c r="AX20" s="6">
        <v>8368</v>
      </c>
      <c r="AY20" s="115">
        <v>8235</v>
      </c>
      <c r="AZ20" s="106"/>
      <c r="BA20" s="4">
        <v>11771</v>
      </c>
      <c r="BB20" s="4">
        <v>11496</v>
      </c>
      <c r="BC20" s="4">
        <v>11464</v>
      </c>
      <c r="BD20" s="4">
        <v>11629</v>
      </c>
      <c r="BE20" s="4">
        <v>11583</v>
      </c>
      <c r="BF20" s="4">
        <v>11680</v>
      </c>
      <c r="BG20" s="4">
        <v>11628</v>
      </c>
      <c r="BH20" s="4">
        <v>11430</v>
      </c>
      <c r="BI20" s="4">
        <f>4865+6406</f>
        <v>11271</v>
      </c>
      <c r="BJ20" s="4">
        <f>4889+6270</f>
        <v>11159</v>
      </c>
      <c r="BK20" s="4">
        <f>4629+5860</f>
        <v>10489</v>
      </c>
      <c r="BL20" s="4">
        <f>4446+5412</f>
        <v>9858</v>
      </c>
      <c r="BM20" s="4">
        <f>5493+4469</f>
        <v>9962</v>
      </c>
      <c r="BN20" s="4">
        <f>5699+4510</f>
        <v>10209</v>
      </c>
      <c r="BO20" s="4">
        <f>4492+5806</f>
        <v>10298</v>
      </c>
      <c r="BP20" s="4">
        <f>4517+5927</f>
        <v>10444</v>
      </c>
      <c r="BQ20" s="7">
        <f>6085+4525</f>
        <v>10610</v>
      </c>
      <c r="BR20" s="7">
        <f>6678+4840</f>
        <v>11518</v>
      </c>
      <c r="BS20" s="7">
        <v>12762</v>
      </c>
      <c r="BT20" s="7">
        <v>12969</v>
      </c>
      <c r="BU20" s="101">
        <v>13881</v>
      </c>
      <c r="BV20" s="101">
        <v>14226</v>
      </c>
      <c r="BW20" s="101">
        <v>14256</v>
      </c>
      <c r="BX20" s="101">
        <v>14310</v>
      </c>
      <c r="BY20" s="114">
        <v>14213</v>
      </c>
    </row>
    <row r="21" spans="1:77" ht="12.75" customHeight="1">
      <c r="A21" s="9" t="s">
        <v>34</v>
      </c>
      <c r="B21" s="89">
        <v>0.19579309432464612</v>
      </c>
      <c r="C21" s="85">
        <v>0.1958762886597938</v>
      </c>
      <c r="D21" s="25">
        <v>0.2003731878857471</v>
      </c>
      <c r="E21" s="25">
        <v>0.19832402234636873</v>
      </c>
      <c r="F21" s="25">
        <v>0.2139917695473251</v>
      </c>
      <c r="G21" s="25">
        <v>0.21264367816091953</v>
      </c>
      <c r="H21" s="25">
        <v>0.2148846960167715</v>
      </c>
      <c r="I21" s="25">
        <v>0.2109038737446198</v>
      </c>
      <c r="J21" s="25">
        <v>0.21679221017821054</v>
      </c>
      <c r="K21" s="25">
        <v>0.21354353278394841</v>
      </c>
      <c r="L21" s="25">
        <v>0.2179600494961994</v>
      </c>
      <c r="M21" s="25">
        <v>0.22478436894912868</v>
      </c>
      <c r="N21" s="25">
        <v>0.2275219298245614</v>
      </c>
      <c r="O21" s="25">
        <v>0.22207887946922225</v>
      </c>
      <c r="P21" s="25">
        <v>0.23404255319148937</v>
      </c>
      <c r="Q21" s="17">
        <v>0.23814308681672025</v>
      </c>
      <c r="R21" s="17">
        <v>0.23932492883285889</v>
      </c>
      <c r="S21" s="61">
        <v>0.2256627783669141</v>
      </c>
      <c r="T21" s="17">
        <v>0.22697795071335927</v>
      </c>
      <c r="U21" s="17">
        <v>0.22465697317223018</v>
      </c>
      <c r="V21" s="17">
        <f t="shared" si="0"/>
        <v>0.21622137404580152</v>
      </c>
      <c r="W21" s="17">
        <f t="shared" si="1"/>
        <v>0.22861329913903644</v>
      </c>
      <c r="X21" s="17">
        <f t="shared" si="2"/>
        <v>0.22335307179866765</v>
      </c>
      <c r="Y21" s="43">
        <f t="shared" si="3"/>
        <v>0.21839285714285714</v>
      </c>
      <c r="Z21" s="78">
        <f t="shared" si="4"/>
        <v>0.22635711847046774</v>
      </c>
      <c r="AA21" s="94">
        <v>1480</v>
      </c>
      <c r="AB21" s="92">
        <v>1482</v>
      </c>
      <c r="AC21" s="26">
        <v>1396</v>
      </c>
      <c r="AD21" s="26">
        <v>1278</v>
      </c>
      <c r="AE21" s="26">
        <v>1352</v>
      </c>
      <c r="AF21" s="26">
        <v>1258</v>
      </c>
      <c r="AG21" s="26">
        <v>1230</v>
      </c>
      <c r="AH21" s="26">
        <v>1176</v>
      </c>
      <c r="AI21" s="26">
        <v>1180</v>
      </c>
      <c r="AJ21" s="26">
        <v>1192</v>
      </c>
      <c r="AK21" s="26">
        <v>1233</v>
      </c>
      <c r="AL21" s="26">
        <v>1277</v>
      </c>
      <c r="AM21" s="26">
        <v>1245</v>
      </c>
      <c r="AN21" s="26">
        <v>1205</v>
      </c>
      <c r="AO21" s="26">
        <v>1232</v>
      </c>
      <c r="AP21" s="26">
        <v>1185</v>
      </c>
      <c r="AQ21" s="26">
        <v>1177</v>
      </c>
      <c r="AR21" s="53">
        <v>1064</v>
      </c>
      <c r="AS21" s="26">
        <v>1050</v>
      </c>
      <c r="AT21" s="26">
        <v>1097</v>
      </c>
      <c r="AU21" s="26">
        <v>1133</v>
      </c>
      <c r="AV21" s="26">
        <v>1248</v>
      </c>
      <c r="AW21" s="26">
        <v>1207</v>
      </c>
      <c r="AX21" s="6">
        <v>1223</v>
      </c>
      <c r="AY21" s="115">
        <v>1326</v>
      </c>
      <c r="AZ21" s="106"/>
      <c r="BA21" s="4">
        <v>7559</v>
      </c>
      <c r="BB21" s="4">
        <v>7566</v>
      </c>
      <c r="BC21" s="4">
        <v>6967</v>
      </c>
      <c r="BD21" s="4">
        <v>6444</v>
      </c>
      <c r="BE21" s="4">
        <v>6318</v>
      </c>
      <c r="BF21" s="4">
        <v>5916</v>
      </c>
      <c r="BG21" s="4">
        <v>5724</v>
      </c>
      <c r="BH21" s="4">
        <v>5576</v>
      </c>
      <c r="BI21" s="4">
        <f>4263+1180</f>
        <v>5443</v>
      </c>
      <c r="BJ21" s="4">
        <f>4390+1192</f>
        <v>5582</v>
      </c>
      <c r="BK21" s="4">
        <f>4424+1233</f>
        <v>5657</v>
      </c>
      <c r="BL21" s="4">
        <f>1277+4404</f>
        <v>5681</v>
      </c>
      <c r="BM21" s="4">
        <f>1245+4227</f>
        <v>5472</v>
      </c>
      <c r="BN21" s="4">
        <f>1205+4221</f>
        <v>5426</v>
      </c>
      <c r="BO21" s="4">
        <f>1232+4032</f>
        <v>5264</v>
      </c>
      <c r="BP21" s="4">
        <f>1185+3791</f>
        <v>4976</v>
      </c>
      <c r="BQ21" s="7">
        <f>1177+3741</f>
        <v>4918</v>
      </c>
      <c r="BR21" s="7">
        <f>1064+3651</f>
        <v>4715</v>
      </c>
      <c r="BS21" s="7">
        <v>4626</v>
      </c>
      <c r="BT21" s="7">
        <v>4883</v>
      </c>
      <c r="BU21" s="101">
        <v>5240</v>
      </c>
      <c r="BV21" s="101">
        <v>5459</v>
      </c>
      <c r="BW21" s="101">
        <v>5404</v>
      </c>
      <c r="BX21" s="101">
        <v>5600</v>
      </c>
      <c r="BY21" s="114">
        <v>5858</v>
      </c>
    </row>
    <row r="22" spans="1:77" ht="12.75" customHeight="1">
      <c r="A22" s="9" t="s">
        <v>35</v>
      </c>
      <c r="B22" s="89">
        <v>0.5090395480225989</v>
      </c>
      <c r="C22" s="85">
        <v>0.5172647257955315</v>
      </c>
      <c r="D22" s="25">
        <v>0.5280269058295964</v>
      </c>
      <c r="E22" s="25">
        <v>0.5417686123732961</v>
      </c>
      <c r="F22" s="25">
        <v>0.5561323815704088</v>
      </c>
      <c r="G22" s="25">
        <v>0.5692903814010029</v>
      </c>
      <c r="H22" s="25">
        <v>0.5684754521963824</v>
      </c>
      <c r="I22" s="25">
        <v>0.5777246327297574</v>
      </c>
      <c r="J22" s="25">
        <v>0.5863479898681562</v>
      </c>
      <c r="K22" s="25">
        <v>0.5898847631241998</v>
      </c>
      <c r="L22" s="25">
        <v>0.5856894010451561</v>
      </c>
      <c r="M22" s="25">
        <v>0.5876322107585491</v>
      </c>
      <c r="N22" s="25">
        <v>0.6147036181678214</v>
      </c>
      <c r="O22" s="25">
        <v>0.6244052091159529</v>
      </c>
      <c r="P22" s="25">
        <v>0.629489250652417</v>
      </c>
      <c r="Q22" s="17">
        <v>0.626645264847512</v>
      </c>
      <c r="R22" s="17">
        <v>0.6159319899244332</v>
      </c>
      <c r="S22" s="61">
        <v>0.6156213928434013</v>
      </c>
      <c r="T22" s="17">
        <v>0.6175878417873611</v>
      </c>
      <c r="U22" s="17">
        <v>0.6142199693190156</v>
      </c>
      <c r="V22" s="17">
        <f t="shared" si="0"/>
        <v>0.6140630987354707</v>
      </c>
      <c r="W22" s="17">
        <f t="shared" si="1"/>
        <v>0.6179883325854222</v>
      </c>
      <c r="X22" s="17">
        <f t="shared" si="2"/>
        <v>0.6188540456833139</v>
      </c>
      <c r="Y22" s="43">
        <f t="shared" si="3"/>
        <v>0.6148700797530229</v>
      </c>
      <c r="Z22" s="78">
        <f t="shared" si="4"/>
        <v>0.6088356517259145</v>
      </c>
      <c r="AA22" s="94">
        <v>6307</v>
      </c>
      <c r="AB22" s="92">
        <v>6112</v>
      </c>
      <c r="AC22" s="26">
        <v>6123</v>
      </c>
      <c r="AD22" s="26">
        <v>6200</v>
      </c>
      <c r="AE22" s="26">
        <v>6856</v>
      </c>
      <c r="AF22" s="26">
        <v>7493</v>
      </c>
      <c r="AG22" s="26">
        <v>7920</v>
      </c>
      <c r="AH22" s="26">
        <v>8455</v>
      </c>
      <c r="AI22" s="26">
        <v>9028</v>
      </c>
      <c r="AJ22" s="26">
        <v>9214</v>
      </c>
      <c r="AK22" s="26">
        <v>8742</v>
      </c>
      <c r="AL22" s="26">
        <v>9056</v>
      </c>
      <c r="AM22" s="26">
        <v>9582</v>
      </c>
      <c r="AN22" s="26">
        <v>9973</v>
      </c>
      <c r="AO22" s="26">
        <v>10131</v>
      </c>
      <c r="AP22" s="26">
        <v>9760</v>
      </c>
      <c r="AQ22" s="26">
        <v>9781</v>
      </c>
      <c r="AR22" s="53">
        <v>9600</v>
      </c>
      <c r="AS22" s="26">
        <v>9509</v>
      </c>
      <c r="AT22" s="26">
        <v>9209</v>
      </c>
      <c r="AU22" s="26">
        <v>9615</v>
      </c>
      <c r="AV22" s="26">
        <v>9640</v>
      </c>
      <c r="AW22" s="26">
        <v>9591</v>
      </c>
      <c r="AX22" s="6">
        <v>9560</v>
      </c>
      <c r="AY22" s="115">
        <v>9454</v>
      </c>
      <c r="AZ22" s="106"/>
      <c r="BA22" s="4">
        <v>12390</v>
      </c>
      <c r="BB22" s="4">
        <v>11816</v>
      </c>
      <c r="BC22" s="4">
        <v>11596</v>
      </c>
      <c r="BD22" s="4">
        <v>11444</v>
      </c>
      <c r="BE22" s="4">
        <v>12328</v>
      </c>
      <c r="BF22" s="4">
        <v>13162</v>
      </c>
      <c r="BG22" s="4">
        <v>13932</v>
      </c>
      <c r="BH22" s="4">
        <v>14635</v>
      </c>
      <c r="BI22" s="4">
        <f>6369+9028</f>
        <v>15397</v>
      </c>
      <c r="BJ22" s="4">
        <f>6406+9214</f>
        <v>15620</v>
      </c>
      <c r="BK22" s="4">
        <f>8742+6184</f>
        <v>14926</v>
      </c>
      <c r="BL22" s="4">
        <f>9056+6355</f>
        <v>15411</v>
      </c>
      <c r="BM22" s="4">
        <f>9582+6006</f>
        <v>15588</v>
      </c>
      <c r="BN22" s="4">
        <f>9973+5999</f>
        <v>15972</v>
      </c>
      <c r="BO22" s="4">
        <f>10131+5963</f>
        <v>16094</v>
      </c>
      <c r="BP22" s="4">
        <f>9760+5815</f>
        <v>15575</v>
      </c>
      <c r="BQ22" s="7">
        <f>9781+6099</f>
        <v>15880</v>
      </c>
      <c r="BR22" s="7">
        <f>9600+5994</f>
        <v>15594</v>
      </c>
      <c r="BS22" s="7">
        <v>15397</v>
      </c>
      <c r="BT22" s="7">
        <v>14993</v>
      </c>
      <c r="BU22" s="101">
        <v>15658</v>
      </c>
      <c r="BV22" s="101">
        <v>15599</v>
      </c>
      <c r="BW22" s="101">
        <v>15498</v>
      </c>
      <c r="BX22" s="101">
        <v>15548</v>
      </c>
      <c r="BY22" s="114">
        <v>15528</v>
      </c>
    </row>
    <row r="23" spans="1:77" ht="12.75" customHeight="1">
      <c r="A23" s="9" t="s">
        <v>36</v>
      </c>
      <c r="B23" s="89">
        <v>0.4928091292793497</v>
      </c>
      <c r="C23" s="85">
        <v>0.4932758742244783</v>
      </c>
      <c r="D23" s="25">
        <v>0.4998830640808837</v>
      </c>
      <c r="E23" s="25">
        <v>0.5091146305222339</v>
      </c>
      <c r="F23" s="25">
        <v>0.5186845363433437</v>
      </c>
      <c r="G23" s="25">
        <v>0.5251047707553324</v>
      </c>
      <c r="H23" s="25">
        <v>0.5291914688930691</v>
      </c>
      <c r="I23" s="25">
        <v>0.5341854566185523</v>
      </c>
      <c r="J23" s="25">
        <v>0.5390650565483555</v>
      </c>
      <c r="K23" s="25">
        <v>0.5376772873938654</v>
      </c>
      <c r="L23" s="25">
        <v>0.5373680862516107</v>
      </c>
      <c r="M23" s="25">
        <v>0.5378868013230578</v>
      </c>
      <c r="N23" s="25">
        <v>0.5457775581325994</v>
      </c>
      <c r="O23" s="25">
        <v>0.5518575391741819</v>
      </c>
      <c r="P23" s="25">
        <v>0.5581083848070163</v>
      </c>
      <c r="Q23" s="17">
        <v>0.559815832568827</v>
      </c>
      <c r="R23" s="17">
        <v>0.5606904747857017</v>
      </c>
      <c r="S23" s="61">
        <v>0.5620669338710614</v>
      </c>
      <c r="T23" s="17">
        <v>0.5616403630713876</v>
      </c>
      <c r="U23" s="17">
        <v>0.560879678237413</v>
      </c>
      <c r="V23" s="17">
        <f t="shared" si="0"/>
        <v>0.5644850028517631</v>
      </c>
      <c r="W23" s="17">
        <f t="shared" si="1"/>
        <v>0.5640595382368478</v>
      </c>
      <c r="X23" s="17">
        <f t="shared" si="2"/>
        <v>0.5640508104738154</v>
      </c>
      <c r="Y23" s="43">
        <f t="shared" si="3"/>
        <v>0.563307375171782</v>
      </c>
      <c r="Z23" s="78">
        <f t="shared" si="4"/>
        <v>0.5623141246358168</v>
      </c>
      <c r="AA23" s="94">
        <f aca="true" t="shared" si="5" ref="AA23:BX23">SUM(AA10:AA22)</f>
        <v>56745</v>
      </c>
      <c r="AB23" s="52">
        <f t="shared" si="5"/>
        <v>55973</v>
      </c>
      <c r="AC23" s="14">
        <f t="shared" si="5"/>
        <v>55573</v>
      </c>
      <c r="AD23" s="14">
        <f t="shared" si="5"/>
        <v>56192</v>
      </c>
      <c r="AE23" s="14">
        <f t="shared" si="5"/>
        <v>57394</v>
      </c>
      <c r="AF23" s="14">
        <f t="shared" si="5"/>
        <v>58765</v>
      </c>
      <c r="AG23" s="14">
        <f t="shared" si="5"/>
        <v>61609</v>
      </c>
      <c r="AH23" s="14">
        <f t="shared" si="5"/>
        <v>64653</v>
      </c>
      <c r="AI23" s="14">
        <f t="shared" si="5"/>
        <v>67540</v>
      </c>
      <c r="AJ23" s="14">
        <f t="shared" si="5"/>
        <v>67821</v>
      </c>
      <c r="AK23" s="14">
        <f t="shared" si="5"/>
        <v>65891</v>
      </c>
      <c r="AL23" s="14">
        <f t="shared" si="5"/>
        <v>64072</v>
      </c>
      <c r="AM23" s="14">
        <f t="shared" si="5"/>
        <v>64053</v>
      </c>
      <c r="AN23" s="14">
        <f t="shared" si="5"/>
        <v>65048</v>
      </c>
      <c r="AO23" s="14">
        <f t="shared" si="5"/>
        <v>65417</v>
      </c>
      <c r="AP23" s="14">
        <f t="shared" si="5"/>
        <v>65293</v>
      </c>
      <c r="AQ23" s="14">
        <f t="shared" si="5"/>
        <v>66522</v>
      </c>
      <c r="AR23" s="54">
        <f t="shared" si="5"/>
        <v>67733</v>
      </c>
      <c r="AS23" s="14">
        <f t="shared" si="5"/>
        <v>68683</v>
      </c>
      <c r="AT23" s="14">
        <f t="shared" si="5"/>
        <v>69447</v>
      </c>
      <c r="AU23" s="14">
        <f t="shared" si="5"/>
        <v>72249</v>
      </c>
      <c r="AV23" s="14">
        <f t="shared" si="5"/>
        <v>72608</v>
      </c>
      <c r="AW23" s="14">
        <f t="shared" si="5"/>
        <v>72379</v>
      </c>
      <c r="AX23" s="14">
        <f>SUM(AX10:AX22)</f>
        <v>73782</v>
      </c>
      <c r="AY23" s="14">
        <f>SUM(AY10:AY22)</f>
        <v>74307</v>
      </c>
      <c r="AZ23" s="52"/>
      <c r="BA23" s="14">
        <f t="shared" si="5"/>
        <v>115146</v>
      </c>
      <c r="BB23" s="14">
        <f t="shared" si="5"/>
        <v>113472</v>
      </c>
      <c r="BC23" s="14">
        <f t="shared" si="5"/>
        <v>111172</v>
      </c>
      <c r="BD23" s="14">
        <f t="shared" si="5"/>
        <v>110372</v>
      </c>
      <c r="BE23" s="14">
        <f t="shared" si="5"/>
        <v>110653</v>
      </c>
      <c r="BF23" s="14">
        <f t="shared" si="5"/>
        <v>111911</v>
      </c>
      <c r="BG23" s="14">
        <f t="shared" si="5"/>
        <v>116421</v>
      </c>
      <c r="BH23" s="14">
        <f t="shared" si="5"/>
        <v>121031</v>
      </c>
      <c r="BI23" s="14">
        <f t="shared" si="5"/>
        <v>125291</v>
      </c>
      <c r="BJ23" s="14">
        <f t="shared" si="5"/>
        <v>126137</v>
      </c>
      <c r="BK23" s="14">
        <f t="shared" si="5"/>
        <v>122618</v>
      </c>
      <c r="BL23" s="14">
        <f t="shared" si="5"/>
        <v>119118</v>
      </c>
      <c r="BM23" s="14">
        <f t="shared" si="5"/>
        <v>117361</v>
      </c>
      <c r="BN23" s="14">
        <f t="shared" si="5"/>
        <v>117871</v>
      </c>
      <c r="BO23" s="14">
        <f t="shared" si="5"/>
        <v>117212</v>
      </c>
      <c r="BP23" s="14">
        <f t="shared" si="5"/>
        <v>116633</v>
      </c>
      <c r="BQ23" s="14">
        <f t="shared" si="5"/>
        <v>118643</v>
      </c>
      <c r="BR23" s="14">
        <f t="shared" si="5"/>
        <v>120507</v>
      </c>
      <c r="BS23" s="14">
        <f t="shared" si="5"/>
        <v>122290</v>
      </c>
      <c r="BT23" s="14">
        <f t="shared" si="5"/>
        <v>123818</v>
      </c>
      <c r="BU23" s="52">
        <f t="shared" si="5"/>
        <v>127991</v>
      </c>
      <c r="BV23" s="52">
        <f t="shared" si="5"/>
        <v>128724</v>
      </c>
      <c r="BW23" s="52">
        <f t="shared" si="5"/>
        <v>128320</v>
      </c>
      <c r="BX23" s="52">
        <f t="shared" si="5"/>
        <v>130980</v>
      </c>
      <c r="BY23" s="52">
        <f>SUM(BY10:BY22)</f>
        <v>132145</v>
      </c>
    </row>
    <row r="24" spans="1:49" ht="12.75" customHeight="1">
      <c r="A24" s="24"/>
      <c r="B24" s="89"/>
      <c r="C24" s="8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17"/>
      <c r="R24" s="17"/>
      <c r="S24" s="61"/>
      <c r="T24" s="17"/>
      <c r="U24" s="17"/>
      <c r="V24" s="17"/>
      <c r="W24" s="17"/>
      <c r="X24" s="17"/>
      <c r="Y24" s="43"/>
      <c r="Z24" s="78"/>
      <c r="AA24" s="94"/>
      <c r="AB24" s="92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53"/>
      <c r="AS24" s="26"/>
      <c r="AT24" s="26"/>
      <c r="AU24" s="26"/>
      <c r="AV24" s="26"/>
      <c r="AW24" s="26"/>
    </row>
    <row r="25" spans="1:49" ht="33.75" customHeight="1">
      <c r="A25" s="3" t="s">
        <v>37</v>
      </c>
      <c r="B25" s="89"/>
      <c r="C25" s="8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17"/>
      <c r="R25" s="17"/>
      <c r="S25" s="61"/>
      <c r="T25" s="17"/>
      <c r="U25" s="17"/>
      <c r="V25" s="17"/>
      <c r="W25" s="17"/>
      <c r="X25" s="17"/>
      <c r="Y25" s="43"/>
      <c r="Z25" s="78"/>
      <c r="AA25" s="94"/>
      <c r="AB25" s="92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53"/>
      <c r="AS25" s="26"/>
      <c r="AT25" s="26"/>
      <c r="AU25" s="26"/>
      <c r="AV25" s="26"/>
      <c r="AW25" s="26"/>
    </row>
    <row r="26" spans="1:49" ht="12.75" customHeight="1">
      <c r="A26" s="9"/>
      <c r="B26" s="89"/>
      <c r="C26" s="8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17"/>
      <c r="R26" s="17"/>
      <c r="S26" s="61"/>
      <c r="T26" s="17"/>
      <c r="U26" s="17"/>
      <c r="V26" s="17"/>
      <c r="W26" s="17"/>
      <c r="X26" s="17"/>
      <c r="Y26" s="43"/>
      <c r="Z26" s="78"/>
      <c r="AA26" s="94"/>
      <c r="AB26" s="92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53"/>
      <c r="AS26" s="26"/>
      <c r="AT26" s="26"/>
      <c r="AU26" s="26"/>
      <c r="AV26" s="26"/>
      <c r="AW26" s="26"/>
    </row>
    <row r="27" spans="1:77" ht="12.75" customHeight="1">
      <c r="A27" s="9" t="s">
        <v>38</v>
      </c>
      <c r="B27" s="89">
        <v>0.49213286713286714</v>
      </c>
      <c r="C27" s="85">
        <v>0.5144061841180604</v>
      </c>
      <c r="D27" s="25">
        <v>0.5046649703138253</v>
      </c>
      <c r="E27" s="25">
        <v>0.5238095238095238</v>
      </c>
      <c r="F27" s="25">
        <v>0.5410806809770541</v>
      </c>
      <c r="G27" s="25">
        <v>0.5630007283321194</v>
      </c>
      <c r="H27" s="25">
        <v>0.5211835911230666</v>
      </c>
      <c r="I27" s="25">
        <v>0.5355976485956891</v>
      </c>
      <c r="J27" s="25">
        <v>0.5485074626865671</v>
      </c>
      <c r="K27" s="25">
        <v>0.5603184323331292</v>
      </c>
      <c r="L27" s="25">
        <v>0.5650224215246636</v>
      </c>
      <c r="M27" s="25">
        <v>0.5807007466973004</v>
      </c>
      <c r="N27" s="25">
        <v>0.6039952996474736</v>
      </c>
      <c r="O27" s="25">
        <v>0.5918727915194346</v>
      </c>
      <c r="P27" s="25">
        <v>0.5911136107986502</v>
      </c>
      <c r="Q27" s="17">
        <v>0.594361334867664</v>
      </c>
      <c r="R27" s="17">
        <v>0.5645714285714286</v>
      </c>
      <c r="S27" s="61">
        <v>0.5862068965517241</v>
      </c>
      <c r="T27" s="17">
        <v>0.5933682373472949</v>
      </c>
      <c r="U27" s="17">
        <v>0.5974155069582505</v>
      </c>
      <c r="V27" s="17">
        <f aca="true" t="shared" si="6" ref="V27:V35">+AU27/BU27</f>
        <v>0.6109215017064846</v>
      </c>
      <c r="W27" s="17">
        <f aca="true" t="shared" si="7" ref="W27:W35">+AV27/BV27</f>
        <v>0.6276758409785933</v>
      </c>
      <c r="X27" s="17">
        <f aca="true" t="shared" si="8" ref="X27:X35">+AW27/BW27</f>
        <v>0.6484105706625813</v>
      </c>
      <c r="Y27" s="43">
        <f aca="true" t="shared" si="9" ref="Y27:Y35">+AX27/BX27</f>
        <v>0.6493307839388145</v>
      </c>
      <c r="Z27" s="78">
        <f aca="true" t="shared" si="10" ref="Z27:Z35">SUM(AY27/BY27)</f>
        <v>0.6337883959044368</v>
      </c>
      <c r="AA27" s="94">
        <v>563</v>
      </c>
      <c r="AB27" s="92">
        <v>732</v>
      </c>
      <c r="AC27" s="26">
        <v>595</v>
      </c>
      <c r="AD27" s="26">
        <v>671</v>
      </c>
      <c r="AE27" s="26">
        <v>731</v>
      </c>
      <c r="AF27" s="26">
        <v>773</v>
      </c>
      <c r="AG27" s="26">
        <v>775</v>
      </c>
      <c r="AH27" s="26">
        <v>820</v>
      </c>
      <c r="AI27" s="26">
        <v>882</v>
      </c>
      <c r="AJ27" s="26">
        <v>915</v>
      </c>
      <c r="AK27" s="26">
        <v>1008</v>
      </c>
      <c r="AL27" s="26">
        <v>1011</v>
      </c>
      <c r="AM27" s="26">
        <v>1028</v>
      </c>
      <c r="AN27" s="26">
        <v>1005</v>
      </c>
      <c r="AO27" s="26">
        <v>1051</v>
      </c>
      <c r="AP27" s="26">
        <v>1033</v>
      </c>
      <c r="AQ27" s="26">
        <v>988</v>
      </c>
      <c r="AR27" s="53">
        <v>1088</v>
      </c>
      <c r="AS27" s="26">
        <v>1020</v>
      </c>
      <c r="AT27" s="26">
        <v>1202</v>
      </c>
      <c r="AU27" s="26">
        <v>1432</v>
      </c>
      <c r="AV27" s="26">
        <v>1642</v>
      </c>
      <c r="AW27" s="26">
        <v>1693</v>
      </c>
      <c r="AX27" s="6">
        <v>1698</v>
      </c>
      <c r="AY27" s="115">
        <v>1857</v>
      </c>
      <c r="AZ27" s="106"/>
      <c r="BA27" s="4">
        <v>1144</v>
      </c>
      <c r="BB27" s="4">
        <v>1423</v>
      </c>
      <c r="BC27" s="4">
        <v>1179</v>
      </c>
      <c r="BD27" s="4">
        <v>1281</v>
      </c>
      <c r="BE27" s="4">
        <v>1351</v>
      </c>
      <c r="BF27" s="4">
        <v>1373</v>
      </c>
      <c r="BG27" s="4">
        <v>1487</v>
      </c>
      <c r="BH27" s="4">
        <v>1531</v>
      </c>
      <c r="BI27" s="4">
        <f>726+882</f>
        <v>1608</v>
      </c>
      <c r="BJ27" s="4">
        <f>915+718</f>
        <v>1633</v>
      </c>
      <c r="BK27" s="4">
        <f>1008+776</f>
        <v>1784</v>
      </c>
      <c r="BL27" s="4">
        <f>1011+730</f>
        <v>1741</v>
      </c>
      <c r="BM27" s="4">
        <f>674+1028</f>
        <v>1702</v>
      </c>
      <c r="BN27" s="4">
        <f>1005+693</f>
        <v>1698</v>
      </c>
      <c r="BO27" s="4">
        <f>1051+727</f>
        <v>1778</v>
      </c>
      <c r="BP27" s="4">
        <f>705+1033</f>
        <v>1738</v>
      </c>
      <c r="BQ27" s="7">
        <f>988+762</f>
        <v>1750</v>
      </c>
      <c r="BR27" s="7">
        <f>768+1088</f>
        <v>1856</v>
      </c>
      <c r="BS27" s="7">
        <v>1719</v>
      </c>
      <c r="BT27" s="7">
        <v>2012</v>
      </c>
      <c r="BU27" s="101">
        <v>2344</v>
      </c>
      <c r="BV27" s="101">
        <v>2616</v>
      </c>
      <c r="BW27" s="101">
        <v>2611</v>
      </c>
      <c r="BX27" s="101">
        <v>2615</v>
      </c>
      <c r="BY27" s="114">
        <v>2930</v>
      </c>
    </row>
    <row r="28" spans="1:77" ht="12.75" customHeight="1">
      <c r="A28" s="9" t="s">
        <v>39</v>
      </c>
      <c r="B28" s="89">
        <v>0.5279411764705882</v>
      </c>
      <c r="C28" s="85">
        <v>0.5600730927364094</v>
      </c>
      <c r="D28" s="25">
        <v>0.5808917197452229</v>
      </c>
      <c r="E28" s="25">
        <v>0.5512510088781275</v>
      </c>
      <c r="F28" s="25">
        <v>0.5684493777329297</v>
      </c>
      <c r="G28" s="25">
        <v>0.601081081081081</v>
      </c>
      <c r="H28" s="25">
        <v>0.6010362694300518</v>
      </c>
      <c r="I28" s="25">
        <v>0.5972733971997052</v>
      </c>
      <c r="J28" s="25">
        <v>0.6188679245283019</v>
      </c>
      <c r="K28" s="25">
        <v>0.6046662346079067</v>
      </c>
      <c r="L28" s="25">
        <v>0.6194029850746269</v>
      </c>
      <c r="M28" s="25">
        <v>0.6100398936170213</v>
      </c>
      <c r="N28" s="25">
        <v>0.6119151800740491</v>
      </c>
      <c r="O28" s="25">
        <v>0.6115643845335226</v>
      </c>
      <c r="P28" s="25">
        <v>0.6034765496884225</v>
      </c>
      <c r="Q28" s="17">
        <v>0.5785736338376042</v>
      </c>
      <c r="R28" s="17">
        <v>0.5632786885245902</v>
      </c>
      <c r="S28" s="61">
        <v>0.5939545029604238</v>
      </c>
      <c r="T28" s="17">
        <v>0.6094043887147336</v>
      </c>
      <c r="U28" s="17">
        <v>0.5967648757943386</v>
      </c>
      <c r="V28" s="17">
        <f t="shared" si="6"/>
        <v>0.641867469879518</v>
      </c>
      <c r="W28" s="17">
        <f t="shared" si="7"/>
        <v>0.6301621290914653</v>
      </c>
      <c r="X28" s="17">
        <f t="shared" si="8"/>
        <v>0.606832484267306</v>
      </c>
      <c r="Y28" s="43">
        <f t="shared" si="9"/>
        <v>0.6193344807802639</v>
      </c>
      <c r="Z28" s="78">
        <f t="shared" si="10"/>
        <v>0.6090961427748992</v>
      </c>
      <c r="AA28" s="94">
        <v>1077</v>
      </c>
      <c r="AB28" s="92">
        <v>1226</v>
      </c>
      <c r="AC28" s="26">
        <v>1368</v>
      </c>
      <c r="AD28" s="26">
        <v>1366</v>
      </c>
      <c r="AE28" s="26">
        <v>1690</v>
      </c>
      <c r="AF28" s="26">
        <v>1668</v>
      </c>
      <c r="AG28" s="26">
        <v>1508</v>
      </c>
      <c r="AH28" s="26">
        <v>1621</v>
      </c>
      <c r="AI28" s="26">
        <v>1804</v>
      </c>
      <c r="AJ28" s="26">
        <v>1866</v>
      </c>
      <c r="AK28" s="26">
        <v>1992</v>
      </c>
      <c r="AL28" s="26">
        <v>1835</v>
      </c>
      <c r="AM28" s="26">
        <v>1818</v>
      </c>
      <c r="AN28" s="26">
        <v>1724</v>
      </c>
      <c r="AO28" s="26">
        <v>1840</v>
      </c>
      <c r="AP28" s="26">
        <v>1874</v>
      </c>
      <c r="AQ28" s="26">
        <v>1718</v>
      </c>
      <c r="AR28" s="53">
        <v>1906</v>
      </c>
      <c r="AS28" s="26">
        <v>1944</v>
      </c>
      <c r="AT28" s="26">
        <v>2066</v>
      </c>
      <c r="AU28" s="26">
        <v>2131</v>
      </c>
      <c r="AV28" s="26">
        <v>2060</v>
      </c>
      <c r="AW28" s="26">
        <v>2025</v>
      </c>
      <c r="AX28" s="6">
        <v>2159</v>
      </c>
      <c r="AY28" s="115">
        <v>2116</v>
      </c>
      <c r="AZ28" s="106"/>
      <c r="BA28" s="4">
        <v>2040</v>
      </c>
      <c r="BB28" s="4">
        <v>2189</v>
      </c>
      <c r="BC28" s="4">
        <v>2355</v>
      </c>
      <c r="BD28" s="4">
        <v>2478</v>
      </c>
      <c r="BE28" s="4">
        <v>2973</v>
      </c>
      <c r="BF28" s="4">
        <v>2775</v>
      </c>
      <c r="BG28" s="4">
        <v>2509</v>
      </c>
      <c r="BH28" s="4">
        <v>2714</v>
      </c>
      <c r="BI28" s="4">
        <f>1111+1804</f>
        <v>2915</v>
      </c>
      <c r="BJ28" s="4">
        <f>1220+1866</f>
        <v>3086</v>
      </c>
      <c r="BK28" s="4">
        <f>1992+1224</f>
        <v>3216</v>
      </c>
      <c r="BL28" s="4">
        <f>1835+1173</f>
        <v>3008</v>
      </c>
      <c r="BM28" s="4">
        <f>1153+1818</f>
        <v>2971</v>
      </c>
      <c r="BN28" s="4">
        <f>1724+1095</f>
        <v>2819</v>
      </c>
      <c r="BO28" s="4">
        <f>1840+1209</f>
        <v>3049</v>
      </c>
      <c r="BP28" s="4">
        <f>1874+1365</f>
        <v>3239</v>
      </c>
      <c r="BQ28" s="7">
        <f>1718+1332</f>
        <v>3050</v>
      </c>
      <c r="BR28" s="7">
        <f>1906+1303</f>
        <v>3209</v>
      </c>
      <c r="BS28" s="7">
        <v>3190</v>
      </c>
      <c r="BT28" s="7">
        <v>3462</v>
      </c>
      <c r="BU28" s="101">
        <v>3320</v>
      </c>
      <c r="BV28" s="101">
        <v>3269</v>
      </c>
      <c r="BW28" s="101">
        <v>3337</v>
      </c>
      <c r="BX28" s="101">
        <v>3486</v>
      </c>
      <c r="BY28" s="114">
        <v>3474</v>
      </c>
    </row>
    <row r="29" spans="1:77" ht="12.75" customHeight="1">
      <c r="A29" s="9" t="s">
        <v>40</v>
      </c>
      <c r="B29" s="89">
        <v>0.5429472025216706</v>
      </c>
      <c r="C29" s="85">
        <v>0.5407725321888412</v>
      </c>
      <c r="D29" s="25">
        <v>0.541184254052266</v>
      </c>
      <c r="E29" s="25">
        <v>0.5288115246098439</v>
      </c>
      <c r="F29" s="25">
        <v>0.5527515962298571</v>
      </c>
      <c r="G29" s="25">
        <v>0.5814850530376084</v>
      </c>
      <c r="H29" s="25">
        <v>0.5980570734669095</v>
      </c>
      <c r="I29" s="25">
        <v>0.6041946759881689</v>
      </c>
      <c r="J29" s="25">
        <v>0.5971551943103887</v>
      </c>
      <c r="K29" s="25">
        <v>0.6026686434395849</v>
      </c>
      <c r="L29" s="25">
        <v>0.5921615201900238</v>
      </c>
      <c r="M29" s="25">
        <v>0.5871164088257672</v>
      </c>
      <c r="N29" s="25">
        <v>0.601716304896517</v>
      </c>
      <c r="O29" s="25">
        <v>0.6029606132698916</v>
      </c>
      <c r="P29" s="25">
        <v>0.5793085917641078</v>
      </c>
      <c r="Q29" s="17">
        <v>0.568256371435781</v>
      </c>
      <c r="R29" s="17">
        <v>0.5718962477965248</v>
      </c>
      <c r="S29" s="61">
        <v>0.5801851388541406</v>
      </c>
      <c r="T29" s="17">
        <v>0.5830753353973168</v>
      </c>
      <c r="U29" s="17">
        <v>0.5834829443447038</v>
      </c>
      <c r="V29" s="17">
        <f t="shared" si="6"/>
        <v>0.5931311105540236</v>
      </c>
      <c r="W29" s="17">
        <f t="shared" si="7"/>
        <v>0.6078720787207872</v>
      </c>
      <c r="X29" s="17">
        <f t="shared" si="8"/>
        <v>0.589458413926499</v>
      </c>
      <c r="Y29" s="43">
        <f t="shared" si="9"/>
        <v>0.6032146957520091</v>
      </c>
      <c r="Z29" s="78">
        <f t="shared" si="10"/>
        <v>0.6040089086859688</v>
      </c>
      <c r="AA29" s="94">
        <v>1378</v>
      </c>
      <c r="AB29" s="92">
        <v>1512</v>
      </c>
      <c r="AC29" s="26">
        <v>1636</v>
      </c>
      <c r="AD29" s="26">
        <v>1762</v>
      </c>
      <c r="AE29" s="26">
        <v>1818</v>
      </c>
      <c r="AF29" s="26">
        <v>1809</v>
      </c>
      <c r="AG29" s="26">
        <v>1970</v>
      </c>
      <c r="AH29" s="26">
        <v>2247</v>
      </c>
      <c r="AI29" s="26">
        <v>2351</v>
      </c>
      <c r="AJ29" s="26">
        <v>2439</v>
      </c>
      <c r="AK29" s="26">
        <v>2493</v>
      </c>
      <c r="AL29" s="26">
        <v>2315</v>
      </c>
      <c r="AM29" s="26">
        <v>2384</v>
      </c>
      <c r="AN29" s="26">
        <v>2281</v>
      </c>
      <c r="AO29" s="26">
        <v>2279</v>
      </c>
      <c r="AP29" s="26">
        <v>2252</v>
      </c>
      <c r="AQ29" s="26">
        <v>2271</v>
      </c>
      <c r="AR29" s="53">
        <v>2319</v>
      </c>
      <c r="AS29" s="26">
        <v>2260</v>
      </c>
      <c r="AT29" s="26">
        <v>2275</v>
      </c>
      <c r="AU29" s="26">
        <v>2366</v>
      </c>
      <c r="AV29" s="26">
        <v>2471</v>
      </c>
      <c r="AW29" s="26">
        <v>2438</v>
      </c>
      <c r="AX29" s="6">
        <v>2627</v>
      </c>
      <c r="AY29" s="115">
        <v>2712</v>
      </c>
      <c r="AZ29" s="106"/>
      <c r="BA29" s="4">
        <v>2538</v>
      </c>
      <c r="BB29" s="4">
        <v>2796</v>
      </c>
      <c r="BC29" s="4">
        <v>3023</v>
      </c>
      <c r="BD29" s="4">
        <v>3332</v>
      </c>
      <c r="BE29" s="4">
        <v>3289</v>
      </c>
      <c r="BF29" s="4">
        <v>3111</v>
      </c>
      <c r="BG29" s="4">
        <v>3294</v>
      </c>
      <c r="BH29" s="4">
        <v>3719</v>
      </c>
      <c r="BI29" s="4">
        <f>1586+2351</f>
        <v>3937</v>
      </c>
      <c r="BJ29" s="4">
        <f>1608+2439</f>
        <v>4047</v>
      </c>
      <c r="BK29" s="4">
        <f>1717+2493</f>
        <v>4210</v>
      </c>
      <c r="BL29" s="4">
        <f>2315+1628</f>
        <v>3943</v>
      </c>
      <c r="BM29" s="4">
        <v>3962</v>
      </c>
      <c r="BN29" s="4">
        <f>1502+2281</f>
        <v>3783</v>
      </c>
      <c r="BO29" s="4">
        <f>2279+1655</f>
        <v>3934</v>
      </c>
      <c r="BP29" s="4">
        <f>2252+1711</f>
        <v>3963</v>
      </c>
      <c r="BQ29" s="7">
        <f>2271+1700</f>
        <v>3971</v>
      </c>
      <c r="BR29" s="7">
        <f>2319+1678</f>
        <v>3997</v>
      </c>
      <c r="BS29" s="7">
        <v>3876</v>
      </c>
      <c r="BT29" s="7">
        <v>3899</v>
      </c>
      <c r="BU29" s="101">
        <v>3989</v>
      </c>
      <c r="BV29" s="101">
        <v>4065</v>
      </c>
      <c r="BW29" s="101">
        <v>4136</v>
      </c>
      <c r="BX29" s="101">
        <v>4355</v>
      </c>
      <c r="BY29" s="114">
        <v>4490</v>
      </c>
    </row>
    <row r="30" spans="1:77" ht="12.75" customHeight="1">
      <c r="A30" s="9" t="s">
        <v>41</v>
      </c>
      <c r="B30" s="90" t="s">
        <v>42</v>
      </c>
      <c r="C30" s="85"/>
      <c r="D30" s="25"/>
      <c r="E30" s="25"/>
      <c r="F30" s="40" t="s">
        <v>42</v>
      </c>
      <c r="G30" s="40" t="s">
        <v>42</v>
      </c>
      <c r="H30" s="40" t="s">
        <v>42</v>
      </c>
      <c r="I30" s="40" t="s">
        <v>42</v>
      </c>
      <c r="J30" s="40" t="s">
        <v>42</v>
      </c>
      <c r="K30" s="40" t="s">
        <v>42</v>
      </c>
      <c r="L30" s="40" t="s">
        <v>42</v>
      </c>
      <c r="M30" s="40" t="s">
        <v>42</v>
      </c>
      <c r="N30" s="40" t="s">
        <v>42</v>
      </c>
      <c r="O30" s="40" t="s">
        <v>42</v>
      </c>
      <c r="P30" s="25">
        <v>0.18838526912181303</v>
      </c>
      <c r="Q30" s="17">
        <v>0.17173051519154559</v>
      </c>
      <c r="R30" s="17">
        <v>0.14749661705006767</v>
      </c>
      <c r="S30" s="61">
        <v>0.11889035667107001</v>
      </c>
      <c r="T30" s="17">
        <v>0.11420982735723771</v>
      </c>
      <c r="U30" s="17">
        <v>0.0945945945945946</v>
      </c>
      <c r="V30" s="17">
        <f t="shared" si="6"/>
        <v>0.09828571428571428</v>
      </c>
      <c r="W30" s="17">
        <f t="shared" si="7"/>
        <v>0.09288990825688073</v>
      </c>
      <c r="X30" s="17">
        <f t="shared" si="8"/>
        <v>0.10253456221198157</v>
      </c>
      <c r="Y30" s="43">
        <f t="shared" si="9"/>
        <v>0.10250569476082004</v>
      </c>
      <c r="Z30" s="78">
        <f t="shared" si="10"/>
        <v>0.09464082098061574</v>
      </c>
      <c r="AA30" s="95" t="s">
        <v>42</v>
      </c>
      <c r="AB30" s="93" t="s">
        <v>42</v>
      </c>
      <c r="AC30" s="41" t="s">
        <v>42</v>
      </c>
      <c r="AD30" s="41" t="s">
        <v>42</v>
      </c>
      <c r="AE30" s="41" t="s">
        <v>42</v>
      </c>
      <c r="AF30" s="41" t="s">
        <v>42</v>
      </c>
      <c r="AG30" s="41" t="s">
        <v>42</v>
      </c>
      <c r="AH30" s="41" t="s">
        <v>42</v>
      </c>
      <c r="AI30" s="41" t="s">
        <v>42</v>
      </c>
      <c r="AJ30" s="41" t="s">
        <v>42</v>
      </c>
      <c r="AK30" s="41" t="s">
        <v>42</v>
      </c>
      <c r="AL30" s="41" t="s">
        <v>42</v>
      </c>
      <c r="AM30" s="41" t="s">
        <v>42</v>
      </c>
      <c r="AN30" s="41" t="s">
        <v>42</v>
      </c>
      <c r="AO30" s="26">
        <v>133</v>
      </c>
      <c r="AP30" s="26">
        <v>130</v>
      </c>
      <c r="AQ30" s="26">
        <v>109</v>
      </c>
      <c r="AR30" s="53">
        <v>90</v>
      </c>
      <c r="AS30" s="26">
        <v>86</v>
      </c>
      <c r="AT30" s="26">
        <v>77</v>
      </c>
      <c r="AU30" s="26">
        <v>86</v>
      </c>
      <c r="AV30" s="26">
        <v>81</v>
      </c>
      <c r="AW30" s="26">
        <v>89</v>
      </c>
      <c r="AX30" s="6">
        <v>90</v>
      </c>
      <c r="AY30" s="115">
        <v>83</v>
      </c>
      <c r="AZ30" s="106"/>
      <c r="BA30" s="20" t="s">
        <v>42</v>
      </c>
      <c r="BB30" s="20" t="s">
        <v>42</v>
      </c>
      <c r="BC30" s="20" t="s">
        <v>42</v>
      </c>
      <c r="BD30" s="20" t="s">
        <v>42</v>
      </c>
      <c r="BE30" s="20" t="s">
        <v>42</v>
      </c>
      <c r="BF30" s="20" t="s">
        <v>42</v>
      </c>
      <c r="BG30" s="20" t="s">
        <v>42</v>
      </c>
      <c r="BH30" s="20" t="s">
        <v>42</v>
      </c>
      <c r="BI30" s="20" t="s">
        <v>42</v>
      </c>
      <c r="BJ30" s="20" t="s">
        <v>42</v>
      </c>
      <c r="BK30" s="20" t="s">
        <v>42</v>
      </c>
      <c r="BL30" s="20" t="s">
        <v>42</v>
      </c>
      <c r="BM30" s="20" t="s">
        <v>42</v>
      </c>
      <c r="BN30" s="20" t="s">
        <v>42</v>
      </c>
      <c r="BO30" s="4">
        <f>573+133</f>
        <v>706</v>
      </c>
      <c r="BP30" s="4">
        <f>627+130</f>
        <v>757</v>
      </c>
      <c r="BQ30" s="7">
        <f>109+630</f>
        <v>739</v>
      </c>
      <c r="BR30" s="7">
        <f>90+667</f>
        <v>757</v>
      </c>
      <c r="BS30" s="7">
        <f>667+86</f>
        <v>753</v>
      </c>
      <c r="BT30" s="7">
        <v>814</v>
      </c>
      <c r="BU30" s="101">
        <v>875</v>
      </c>
      <c r="BV30" s="101">
        <v>872</v>
      </c>
      <c r="BW30" s="101">
        <v>868</v>
      </c>
      <c r="BX30" s="101">
        <v>878</v>
      </c>
      <c r="BY30" s="114">
        <v>877</v>
      </c>
    </row>
    <row r="31" spans="1:77" ht="12.75" customHeight="1">
      <c r="A31" s="8" t="s">
        <v>105</v>
      </c>
      <c r="B31" s="90" t="s">
        <v>43</v>
      </c>
      <c r="C31" s="8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38" t="s">
        <v>43</v>
      </c>
      <c r="R31" s="38" t="s">
        <v>43</v>
      </c>
      <c r="S31" s="55" t="s">
        <v>43</v>
      </c>
      <c r="T31" s="38" t="s">
        <v>43</v>
      </c>
      <c r="U31" s="17">
        <v>0.6120313862249346</v>
      </c>
      <c r="V31" s="17">
        <f t="shared" si="6"/>
        <v>0.6192990878540566</v>
      </c>
      <c r="W31" s="17">
        <f t="shared" si="7"/>
        <v>0.6237623762376238</v>
      </c>
      <c r="X31" s="17">
        <f t="shared" si="8"/>
        <v>0.6292576419213973</v>
      </c>
      <c r="Y31" s="43">
        <f t="shared" si="9"/>
        <v>0.5987978963185575</v>
      </c>
      <c r="Z31" s="78">
        <f t="shared" si="10"/>
        <v>0.6110901546586194</v>
      </c>
      <c r="AA31" s="95" t="s">
        <v>43</v>
      </c>
      <c r="AB31" s="73" t="s">
        <v>43</v>
      </c>
      <c r="AC31" s="36" t="s">
        <v>43</v>
      </c>
      <c r="AD31" s="36" t="s">
        <v>43</v>
      </c>
      <c r="AE31" s="36" t="s">
        <v>43</v>
      </c>
      <c r="AF31" s="36" t="s">
        <v>43</v>
      </c>
      <c r="AG31" s="36" t="s">
        <v>43</v>
      </c>
      <c r="AH31" s="36" t="s">
        <v>43</v>
      </c>
      <c r="AI31" s="36" t="s">
        <v>43</v>
      </c>
      <c r="AJ31" s="36" t="s">
        <v>43</v>
      </c>
      <c r="AK31" s="36" t="s">
        <v>43</v>
      </c>
      <c r="AL31" s="36" t="s">
        <v>43</v>
      </c>
      <c r="AM31" s="36" t="s">
        <v>43</v>
      </c>
      <c r="AN31" s="36" t="s">
        <v>43</v>
      </c>
      <c r="AO31" s="36" t="s">
        <v>43</v>
      </c>
      <c r="AP31" s="36" t="s">
        <v>43</v>
      </c>
      <c r="AQ31" s="36" t="s">
        <v>43</v>
      </c>
      <c r="AR31" s="56" t="s">
        <v>43</v>
      </c>
      <c r="AS31" s="36" t="s">
        <v>43</v>
      </c>
      <c r="AT31" s="26">
        <v>1404</v>
      </c>
      <c r="AU31" s="26">
        <v>1290</v>
      </c>
      <c r="AV31" s="26">
        <v>1449</v>
      </c>
      <c r="AW31" s="26">
        <v>1441</v>
      </c>
      <c r="AX31" s="6">
        <v>1594</v>
      </c>
      <c r="AY31" s="115">
        <v>1620</v>
      </c>
      <c r="AZ31" s="106"/>
      <c r="BQ31" s="7"/>
      <c r="BR31" s="7"/>
      <c r="BS31" s="7"/>
      <c r="BT31" s="7">
        <v>2294</v>
      </c>
      <c r="BU31" s="101">
        <v>2083</v>
      </c>
      <c r="BV31" s="101">
        <v>2323</v>
      </c>
      <c r="BW31" s="101">
        <v>2290</v>
      </c>
      <c r="BX31" s="101">
        <v>2662</v>
      </c>
      <c r="BY31" s="114">
        <v>2651</v>
      </c>
    </row>
    <row r="32" spans="1:77" ht="12.75" customHeight="1">
      <c r="A32" s="8" t="s">
        <v>106</v>
      </c>
      <c r="B32" s="90" t="s">
        <v>43</v>
      </c>
      <c r="C32" s="8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38" t="s">
        <v>43</v>
      </c>
      <c r="R32" s="38" t="s">
        <v>43</v>
      </c>
      <c r="S32" s="55" t="s">
        <v>43</v>
      </c>
      <c r="T32" s="38" t="s">
        <v>43</v>
      </c>
      <c r="U32" s="38" t="s">
        <v>43</v>
      </c>
      <c r="V32" s="17">
        <f t="shared" si="6"/>
        <v>0.12403100775193798</v>
      </c>
      <c r="W32" s="17">
        <f t="shared" si="7"/>
        <v>0.14962593516209477</v>
      </c>
      <c r="X32" s="17">
        <f t="shared" si="8"/>
        <v>0.09803921568627451</v>
      </c>
      <c r="Y32" s="43">
        <f t="shared" si="9"/>
        <v>0.09634551495016612</v>
      </c>
      <c r="Z32" s="78">
        <f t="shared" si="10"/>
        <v>0.1370309951060359</v>
      </c>
      <c r="AA32" s="95" t="s">
        <v>43</v>
      </c>
      <c r="AB32" s="73" t="s">
        <v>43</v>
      </c>
      <c r="AC32" s="36" t="s">
        <v>43</v>
      </c>
      <c r="AD32" s="36" t="s">
        <v>43</v>
      </c>
      <c r="AE32" s="36" t="s">
        <v>43</v>
      </c>
      <c r="AF32" s="36" t="s">
        <v>43</v>
      </c>
      <c r="AG32" s="36" t="s">
        <v>43</v>
      </c>
      <c r="AH32" s="36" t="s">
        <v>43</v>
      </c>
      <c r="AI32" s="36" t="s">
        <v>43</v>
      </c>
      <c r="AJ32" s="36" t="s">
        <v>43</v>
      </c>
      <c r="AK32" s="36" t="s">
        <v>43</v>
      </c>
      <c r="AL32" s="36" t="s">
        <v>43</v>
      </c>
      <c r="AM32" s="36" t="s">
        <v>43</v>
      </c>
      <c r="AN32" s="36" t="s">
        <v>43</v>
      </c>
      <c r="AO32" s="36" t="s">
        <v>43</v>
      </c>
      <c r="AP32" s="36" t="s">
        <v>43</v>
      </c>
      <c r="AQ32" s="36" t="s">
        <v>43</v>
      </c>
      <c r="AR32" s="56" t="s">
        <v>43</v>
      </c>
      <c r="AS32" s="36" t="s">
        <v>43</v>
      </c>
      <c r="AT32" s="73" t="s">
        <v>43</v>
      </c>
      <c r="AU32" s="73">
        <v>48</v>
      </c>
      <c r="AV32" s="73">
        <f>51+9</f>
        <v>60</v>
      </c>
      <c r="AW32" s="73">
        <v>35</v>
      </c>
      <c r="AX32" s="6">
        <v>58</v>
      </c>
      <c r="AY32" s="115">
        <v>84</v>
      </c>
      <c r="AZ32" s="106"/>
      <c r="BA32" s="38" t="s">
        <v>43</v>
      </c>
      <c r="BB32" s="38" t="s">
        <v>43</v>
      </c>
      <c r="BC32" s="38" t="s">
        <v>43</v>
      </c>
      <c r="BD32" s="38" t="s">
        <v>43</v>
      </c>
      <c r="BE32" s="38" t="s">
        <v>43</v>
      </c>
      <c r="BF32" s="38" t="s">
        <v>43</v>
      </c>
      <c r="BG32" s="38" t="s">
        <v>43</v>
      </c>
      <c r="BH32" s="38" t="s">
        <v>43</v>
      </c>
      <c r="BI32" s="38" t="s">
        <v>43</v>
      </c>
      <c r="BJ32" s="38" t="s">
        <v>43</v>
      </c>
      <c r="BK32" s="38" t="s">
        <v>43</v>
      </c>
      <c r="BL32" s="38" t="s">
        <v>43</v>
      </c>
      <c r="BM32" s="38" t="s">
        <v>43</v>
      </c>
      <c r="BN32" s="38" t="s">
        <v>43</v>
      </c>
      <c r="BO32" s="38" t="s">
        <v>43</v>
      </c>
      <c r="BQ32" s="7"/>
      <c r="BR32" s="7"/>
      <c r="BS32" s="7"/>
      <c r="BT32" s="7"/>
      <c r="BU32" s="101">
        <v>387</v>
      </c>
      <c r="BV32" s="101">
        <f>242+51+99+9</f>
        <v>401</v>
      </c>
      <c r="BW32" s="101">
        <v>357</v>
      </c>
      <c r="BX32" s="101">
        <v>602</v>
      </c>
      <c r="BY32" s="114">
        <v>613</v>
      </c>
    </row>
    <row r="33" spans="1:77" ht="12.75" customHeight="1">
      <c r="A33" s="8" t="s">
        <v>107</v>
      </c>
      <c r="B33" s="89">
        <v>0.5202265372168284</v>
      </c>
      <c r="C33" s="85">
        <v>0.5360998650472335</v>
      </c>
      <c r="D33" s="25">
        <v>0.5598807645099071</v>
      </c>
      <c r="E33" s="25">
        <v>0.5821704153669348</v>
      </c>
      <c r="F33" s="25">
        <v>0.5853465971893258</v>
      </c>
      <c r="G33" s="25">
        <v>0.5948747480564354</v>
      </c>
      <c r="H33" s="25">
        <v>0.5877147319104633</v>
      </c>
      <c r="I33" s="25">
        <v>0.5759109311740891</v>
      </c>
      <c r="J33" s="25">
        <v>0.5795324675324676</v>
      </c>
      <c r="K33" s="25">
        <v>0.5859406745225518</v>
      </c>
      <c r="L33" s="25">
        <v>0.5970894412577012</v>
      </c>
      <c r="M33" s="25">
        <v>0.6045317557763144</v>
      </c>
      <c r="N33" s="25">
        <v>0.6112773853705256</v>
      </c>
      <c r="O33" s="25">
        <v>0.6057463042441583</v>
      </c>
      <c r="P33" s="25">
        <v>0.6044092147634382</v>
      </c>
      <c r="Q33" s="17">
        <v>0.6189753320683112</v>
      </c>
      <c r="R33" s="17">
        <v>0.6010381905821283</v>
      </c>
      <c r="S33" s="61">
        <v>0.584654793852159</v>
      </c>
      <c r="T33" s="17">
        <v>0.587162744856474</v>
      </c>
      <c r="U33" s="17">
        <v>0.5828729281767956</v>
      </c>
      <c r="V33" s="17">
        <f t="shared" si="6"/>
        <v>0.5756635642881764</v>
      </c>
      <c r="W33" s="17">
        <f t="shared" si="7"/>
        <v>0.5844565027131104</v>
      </c>
      <c r="X33" s="17">
        <f t="shared" si="8"/>
        <v>0.5759414599321792</v>
      </c>
      <c r="Y33" s="43">
        <f t="shared" si="9"/>
        <v>0.5750838185989059</v>
      </c>
      <c r="Z33" s="78">
        <f t="shared" si="10"/>
        <v>0.568634755075433</v>
      </c>
      <c r="AA33" s="94">
        <v>2572</v>
      </c>
      <c r="AB33" s="92">
        <v>3178</v>
      </c>
      <c r="AC33" s="26">
        <v>3193</v>
      </c>
      <c r="AD33" s="26">
        <v>3546</v>
      </c>
      <c r="AE33" s="26">
        <v>3707</v>
      </c>
      <c r="AF33" s="26">
        <v>4132</v>
      </c>
      <c r="AG33" s="26">
        <v>4516</v>
      </c>
      <c r="AH33" s="26">
        <v>5121</v>
      </c>
      <c r="AI33" s="26">
        <v>5578</v>
      </c>
      <c r="AJ33" s="26">
        <v>5768</v>
      </c>
      <c r="AK33" s="26">
        <v>5621</v>
      </c>
      <c r="AL33" s="26">
        <v>5416</v>
      </c>
      <c r="AM33" s="26">
        <v>5106</v>
      </c>
      <c r="AN33" s="26">
        <v>5081</v>
      </c>
      <c r="AO33" s="26">
        <v>4880</v>
      </c>
      <c r="AP33" s="26">
        <v>4893</v>
      </c>
      <c r="AQ33" s="26">
        <v>4863</v>
      </c>
      <c r="AR33" s="53">
        <v>4793</v>
      </c>
      <c r="AS33" s="26">
        <v>4766</v>
      </c>
      <c r="AT33" s="26">
        <v>3376</v>
      </c>
      <c r="AU33" s="26">
        <v>3340</v>
      </c>
      <c r="AV33" s="26">
        <v>3339</v>
      </c>
      <c r="AW33" s="26">
        <v>3227</v>
      </c>
      <c r="AX33" s="6">
        <v>3259</v>
      </c>
      <c r="AY33" s="115">
        <v>3053</v>
      </c>
      <c r="AZ33" s="106"/>
      <c r="BA33" s="4">
        <v>4944</v>
      </c>
      <c r="BB33" s="4">
        <v>5928</v>
      </c>
      <c r="BC33" s="4">
        <v>5703</v>
      </c>
      <c r="BD33" s="4">
        <v>6091</v>
      </c>
      <c r="BE33" s="4">
        <v>6333</v>
      </c>
      <c r="BF33" s="4">
        <v>6946</v>
      </c>
      <c r="BG33" s="4">
        <v>7684</v>
      </c>
      <c r="BH33" s="4">
        <v>8892</v>
      </c>
      <c r="BI33" s="4">
        <f>5578+4047</f>
        <v>9625</v>
      </c>
      <c r="BJ33" s="4">
        <f>4076+5768</f>
        <v>9844</v>
      </c>
      <c r="BK33" s="4">
        <f>3793+5621</f>
        <v>9414</v>
      </c>
      <c r="BL33" s="4">
        <f>5416+3543</f>
        <v>8959</v>
      </c>
      <c r="BM33" s="4">
        <f>3247+5106</f>
        <v>8353</v>
      </c>
      <c r="BN33" s="4">
        <f>3307+5081</f>
        <v>8388</v>
      </c>
      <c r="BO33" s="4">
        <f>4880+3194</f>
        <v>8074</v>
      </c>
      <c r="BP33" s="4">
        <f>4893+3012</f>
        <v>7905</v>
      </c>
      <c r="BQ33" s="7">
        <f>4863+3228</f>
        <v>8091</v>
      </c>
      <c r="BR33" s="7">
        <f>4793+3405</f>
        <v>8198</v>
      </c>
      <c r="BS33" s="7">
        <v>8117</v>
      </c>
      <c r="BT33" s="7">
        <v>5792</v>
      </c>
      <c r="BU33" s="101">
        <v>5802</v>
      </c>
      <c r="BV33" s="101">
        <v>5713</v>
      </c>
      <c r="BW33" s="101">
        <v>5603</v>
      </c>
      <c r="BX33" s="101">
        <v>5667</v>
      </c>
      <c r="BY33" s="114">
        <v>5369</v>
      </c>
    </row>
    <row r="34" spans="1:77" ht="12.75" customHeight="1">
      <c r="A34" s="8" t="s">
        <v>108</v>
      </c>
      <c r="B34" s="89">
        <v>0.5817633760361718</v>
      </c>
      <c r="C34" s="85">
        <v>0.5817016731933072</v>
      </c>
      <c r="D34" s="25">
        <v>0.5728550295857988</v>
      </c>
      <c r="E34" s="25">
        <v>0.5880386329866271</v>
      </c>
      <c r="F34" s="25">
        <v>0.5651185449821371</v>
      </c>
      <c r="G34" s="25">
        <v>0.5631067961165048</v>
      </c>
      <c r="H34" s="25">
        <v>0.5537941787941788</v>
      </c>
      <c r="I34" s="25">
        <v>0.5680173661360347</v>
      </c>
      <c r="J34" s="25">
        <v>0.5773195876288659</v>
      </c>
      <c r="K34" s="25">
        <v>0.5638106650689035</v>
      </c>
      <c r="L34" s="25">
        <v>0.5711244435842849</v>
      </c>
      <c r="M34" s="25">
        <v>0.5750786163522013</v>
      </c>
      <c r="N34" s="25">
        <v>0.5928496319663512</v>
      </c>
      <c r="O34" s="25">
        <v>0.5962379702537183</v>
      </c>
      <c r="P34" s="25">
        <v>0.5925844668714348</v>
      </c>
      <c r="Q34" s="17">
        <v>0.5850427350427351</v>
      </c>
      <c r="R34" s="17">
        <v>0.5700119000396668</v>
      </c>
      <c r="S34" s="61">
        <v>0.566193853427896</v>
      </c>
      <c r="T34" s="17">
        <v>0.5585568568190404</v>
      </c>
      <c r="U34" s="17">
        <v>0.5593657086223984</v>
      </c>
      <c r="V34" s="17">
        <f t="shared" si="6"/>
        <v>0.5931818181818181</v>
      </c>
      <c r="W34" s="17">
        <f t="shared" si="7"/>
        <v>0.5942700653044027</v>
      </c>
      <c r="X34" s="17">
        <f t="shared" si="8"/>
        <v>0.5976238511544497</v>
      </c>
      <c r="Y34" s="43">
        <f t="shared" si="9"/>
        <v>0.5977037370553805</v>
      </c>
      <c r="Z34" s="78">
        <f t="shared" si="10"/>
        <v>0.5974537037037037</v>
      </c>
      <c r="AA34" s="94">
        <v>1544</v>
      </c>
      <c r="AB34" s="92">
        <v>1634</v>
      </c>
      <c r="AC34" s="26">
        <v>1549</v>
      </c>
      <c r="AD34" s="26">
        <v>1583</v>
      </c>
      <c r="AE34" s="26">
        <v>1740</v>
      </c>
      <c r="AF34" s="26">
        <v>1798</v>
      </c>
      <c r="AG34" s="26">
        <v>2131</v>
      </c>
      <c r="AH34" s="26">
        <v>2355</v>
      </c>
      <c r="AI34" s="26">
        <v>2744</v>
      </c>
      <c r="AJ34" s="26">
        <v>2823</v>
      </c>
      <c r="AK34" s="26">
        <v>2951</v>
      </c>
      <c r="AL34" s="26">
        <v>2926</v>
      </c>
      <c r="AM34" s="26">
        <v>2819</v>
      </c>
      <c r="AN34" s="26">
        <v>2726</v>
      </c>
      <c r="AO34" s="26">
        <v>2701</v>
      </c>
      <c r="AP34" s="26">
        <v>2738</v>
      </c>
      <c r="AQ34" s="26">
        <v>2874</v>
      </c>
      <c r="AR34" s="53">
        <v>2874</v>
      </c>
      <c r="AS34" s="26">
        <v>2957</v>
      </c>
      <c r="AT34" s="26">
        <v>2822</v>
      </c>
      <c r="AU34" s="26">
        <v>2871</v>
      </c>
      <c r="AV34" s="26">
        <v>2821</v>
      </c>
      <c r="AW34" s="26">
        <v>2666</v>
      </c>
      <c r="AX34" s="6">
        <v>2655</v>
      </c>
      <c r="AY34" s="115">
        <v>2581</v>
      </c>
      <c r="AZ34" s="106"/>
      <c r="BA34" s="4">
        <v>2654</v>
      </c>
      <c r="BB34" s="4">
        <v>2809</v>
      </c>
      <c r="BC34" s="4">
        <v>2704</v>
      </c>
      <c r="BD34" s="4">
        <v>2692</v>
      </c>
      <c r="BE34" s="4">
        <v>3079</v>
      </c>
      <c r="BF34" s="4">
        <v>3193</v>
      </c>
      <c r="BG34" s="4">
        <v>3848</v>
      </c>
      <c r="BH34" s="4">
        <v>4146</v>
      </c>
      <c r="BI34" s="4">
        <f>2009+2744</f>
        <v>4753</v>
      </c>
      <c r="BJ34" s="4">
        <f>2184+2823</f>
        <v>5007</v>
      </c>
      <c r="BK34" s="4">
        <f>2216+2951</f>
        <v>5167</v>
      </c>
      <c r="BL34" s="4">
        <f>2926+2162</f>
        <v>5088</v>
      </c>
      <c r="BM34" s="4">
        <f>1936+2819</f>
        <v>4755</v>
      </c>
      <c r="BN34" s="4">
        <f>1846+2726</f>
        <v>4572</v>
      </c>
      <c r="BO34" s="4">
        <f>1857+2701</f>
        <v>4558</v>
      </c>
      <c r="BP34" s="4">
        <f>2738+1942</f>
        <v>4680</v>
      </c>
      <c r="BQ34" s="7">
        <f>2874+2168</f>
        <v>5042</v>
      </c>
      <c r="BR34" s="7">
        <f>2874+2202</f>
        <v>5076</v>
      </c>
      <c r="BS34" s="7">
        <v>5294</v>
      </c>
      <c r="BT34" s="7">
        <v>5045</v>
      </c>
      <c r="BU34" s="101">
        <v>4840</v>
      </c>
      <c r="BV34" s="101">
        <v>4747</v>
      </c>
      <c r="BW34" s="101">
        <v>4461</v>
      </c>
      <c r="BX34" s="101">
        <v>4442</v>
      </c>
      <c r="BY34" s="114">
        <v>4320</v>
      </c>
    </row>
    <row r="35" spans="1:77" ht="12.75" customHeight="1">
      <c r="A35" s="8" t="s">
        <v>109</v>
      </c>
      <c r="B35" s="89">
        <v>0.581785392245266</v>
      </c>
      <c r="C35" s="85">
        <v>0.5953274215552524</v>
      </c>
      <c r="D35" s="25">
        <v>0.5795692776824852</v>
      </c>
      <c r="E35" s="25">
        <v>0.5961298377028714</v>
      </c>
      <c r="F35" s="25">
        <v>0.5981058266419601</v>
      </c>
      <c r="G35" s="25">
        <v>0.6218278615794144</v>
      </c>
      <c r="H35" s="25">
        <v>0.6122970260901296</v>
      </c>
      <c r="I35" s="25">
        <v>0.6277852802160703</v>
      </c>
      <c r="J35" s="25">
        <v>0.6351678781585324</v>
      </c>
      <c r="K35" s="25">
        <v>0.6288942143101678</v>
      </c>
      <c r="L35" s="25">
        <v>0.6520096186877362</v>
      </c>
      <c r="M35" s="25">
        <v>0.6469048064335141</v>
      </c>
      <c r="N35" s="25">
        <v>0.6378658172406928</v>
      </c>
      <c r="O35" s="25">
        <v>0.6599729241877257</v>
      </c>
      <c r="P35" s="25">
        <v>0.65231067021534</v>
      </c>
      <c r="Q35" s="17">
        <v>0.6599139022537351</v>
      </c>
      <c r="R35" s="17">
        <v>0.6634037819799777</v>
      </c>
      <c r="S35" s="61">
        <v>0.6696282440963292</v>
      </c>
      <c r="T35" s="17">
        <v>0.6784241868987632</v>
      </c>
      <c r="U35" s="17">
        <v>0.698126142595978</v>
      </c>
      <c r="V35" s="17">
        <f t="shared" si="6"/>
        <v>0.7052585064074238</v>
      </c>
      <c r="W35" s="17">
        <f t="shared" si="7"/>
        <v>0.7231849089712656</v>
      </c>
      <c r="X35" s="17">
        <f t="shared" si="8"/>
        <v>0.7257697871461045</v>
      </c>
      <c r="Y35" s="43">
        <f t="shared" si="9"/>
        <v>0.72923140667081</v>
      </c>
      <c r="Z35" s="78">
        <f t="shared" si="10"/>
        <v>0.7275233248515691</v>
      </c>
      <c r="AA35" s="94">
        <v>3226</v>
      </c>
      <c r="AB35" s="92">
        <v>3491</v>
      </c>
      <c r="AC35" s="26">
        <v>3041</v>
      </c>
      <c r="AD35" s="26">
        <v>2865</v>
      </c>
      <c r="AE35" s="26">
        <v>2905</v>
      </c>
      <c r="AF35" s="26">
        <v>3504</v>
      </c>
      <c r="AG35" s="26">
        <v>3356</v>
      </c>
      <c r="AH35" s="26">
        <v>3719</v>
      </c>
      <c r="AI35" s="26">
        <v>3670</v>
      </c>
      <c r="AJ35" s="26">
        <v>3674</v>
      </c>
      <c r="AK35" s="26">
        <v>3796</v>
      </c>
      <c r="AL35" s="26">
        <v>3459</v>
      </c>
      <c r="AM35" s="26">
        <v>3204</v>
      </c>
      <c r="AN35" s="26">
        <v>2925</v>
      </c>
      <c r="AO35" s="26">
        <v>2696</v>
      </c>
      <c r="AP35" s="26">
        <v>2606</v>
      </c>
      <c r="AQ35" s="26">
        <v>2982</v>
      </c>
      <c r="AR35" s="53">
        <v>2864</v>
      </c>
      <c r="AS35" s="26">
        <v>2962</v>
      </c>
      <c r="AT35" s="26">
        <v>3055</v>
      </c>
      <c r="AU35" s="26">
        <v>3192</v>
      </c>
      <c r="AV35" s="26">
        <v>3297</v>
      </c>
      <c r="AW35" s="26">
        <v>3512</v>
      </c>
      <c r="AX35" s="6">
        <v>3520</v>
      </c>
      <c r="AY35" s="115">
        <v>3431</v>
      </c>
      <c r="AZ35" s="106"/>
      <c r="BA35" s="4">
        <v>5545</v>
      </c>
      <c r="BB35" s="4">
        <v>5864</v>
      </c>
      <c r="BC35" s="4">
        <v>5247</v>
      </c>
      <c r="BD35" s="4">
        <v>4806</v>
      </c>
      <c r="BE35" s="4">
        <v>4857</v>
      </c>
      <c r="BF35" s="4">
        <v>5635</v>
      </c>
      <c r="BG35" s="4">
        <v>5481</v>
      </c>
      <c r="BH35" s="4">
        <v>5924</v>
      </c>
      <c r="BI35" s="4">
        <f>2108+3670</f>
        <v>5778</v>
      </c>
      <c r="BJ35" s="4">
        <f>2168+3674</f>
        <v>5842</v>
      </c>
      <c r="BK35" s="4">
        <f>2026+3796</f>
        <v>5822</v>
      </c>
      <c r="BL35" s="4">
        <f>3459+1888</f>
        <v>5347</v>
      </c>
      <c r="BM35" s="4">
        <f>3204+1819</f>
        <v>5023</v>
      </c>
      <c r="BN35" s="4">
        <f>1507+2925</f>
        <v>4432</v>
      </c>
      <c r="BO35" s="4">
        <f>2696+1437</f>
        <v>4133</v>
      </c>
      <c r="BP35" s="4">
        <f>2606+1343</f>
        <v>3949</v>
      </c>
      <c r="BQ35" s="7">
        <f>2982+1513</f>
        <v>4495</v>
      </c>
      <c r="BR35" s="7">
        <f>2864+1413</f>
        <v>4277</v>
      </c>
      <c r="BS35" s="7">
        <v>4366</v>
      </c>
      <c r="BT35" s="7">
        <v>4376</v>
      </c>
      <c r="BU35" s="101">
        <v>4526</v>
      </c>
      <c r="BV35" s="101">
        <v>4559</v>
      </c>
      <c r="BW35" s="101">
        <v>4839</v>
      </c>
      <c r="BX35" s="101">
        <v>4827</v>
      </c>
      <c r="BY35" s="114">
        <v>4716</v>
      </c>
    </row>
    <row r="36" spans="1:75" ht="12.75" customHeight="1" hidden="1">
      <c r="A36" s="8" t="s">
        <v>44</v>
      </c>
      <c r="B36" s="89">
        <v>0.7707808564231738</v>
      </c>
      <c r="C36" s="85">
        <v>0.7073170731707317</v>
      </c>
      <c r="D36" s="25">
        <v>0.7053291536050157</v>
      </c>
      <c r="E36" s="25">
        <v>0.7799227799227799</v>
      </c>
      <c r="F36" s="25">
        <v>0.7720465890183028</v>
      </c>
      <c r="G36" s="40" t="s">
        <v>43</v>
      </c>
      <c r="H36" s="40" t="s">
        <v>43</v>
      </c>
      <c r="I36" s="40" t="s">
        <v>43</v>
      </c>
      <c r="J36" s="40" t="s">
        <v>43</v>
      </c>
      <c r="K36" s="40" t="s">
        <v>43</v>
      </c>
      <c r="L36" s="40" t="s">
        <v>43</v>
      </c>
      <c r="M36" s="40" t="s">
        <v>43</v>
      </c>
      <c r="N36" s="40" t="s">
        <v>43</v>
      </c>
      <c r="O36" s="40" t="s">
        <v>43</v>
      </c>
      <c r="P36" s="40" t="s">
        <v>43</v>
      </c>
      <c r="Q36" s="38" t="s">
        <v>43</v>
      </c>
      <c r="R36" s="38" t="s">
        <v>43</v>
      </c>
      <c r="S36" s="55" t="s">
        <v>43</v>
      </c>
      <c r="T36" s="38" t="s">
        <v>43</v>
      </c>
      <c r="U36" s="38" t="s">
        <v>43</v>
      </c>
      <c r="V36" s="38" t="s">
        <v>43</v>
      </c>
      <c r="W36" s="44" t="s">
        <v>43</v>
      </c>
      <c r="X36" s="72" t="s">
        <v>43</v>
      </c>
      <c r="Y36" s="72" t="s">
        <v>43</v>
      </c>
      <c r="Z36" s="79" t="s">
        <v>43</v>
      </c>
      <c r="AA36" s="94">
        <v>306</v>
      </c>
      <c r="AB36" s="92">
        <v>290</v>
      </c>
      <c r="AC36" s="26">
        <v>225</v>
      </c>
      <c r="AD36" s="26">
        <v>404</v>
      </c>
      <c r="AE36" s="26">
        <v>464</v>
      </c>
      <c r="AF36" s="41" t="s">
        <v>43</v>
      </c>
      <c r="AG36" s="41" t="s">
        <v>43</v>
      </c>
      <c r="AH36" s="41" t="s">
        <v>43</v>
      </c>
      <c r="AI36" s="41" t="s">
        <v>43</v>
      </c>
      <c r="AJ36" s="41" t="s">
        <v>43</v>
      </c>
      <c r="AK36" s="41" t="s">
        <v>43</v>
      </c>
      <c r="AL36" s="41" t="s">
        <v>43</v>
      </c>
      <c r="AM36" s="41" t="s">
        <v>43</v>
      </c>
      <c r="AN36" s="41" t="s">
        <v>43</v>
      </c>
      <c r="AO36" s="41" t="s">
        <v>43</v>
      </c>
      <c r="AP36" s="41" t="s">
        <v>43</v>
      </c>
      <c r="AQ36" s="41" t="s">
        <v>43</v>
      </c>
      <c r="AR36" s="66" t="s">
        <v>43</v>
      </c>
      <c r="AS36" s="41" t="s">
        <v>43</v>
      </c>
      <c r="AT36" s="41" t="s">
        <v>43</v>
      </c>
      <c r="AU36" s="36" t="s">
        <v>43</v>
      </c>
      <c r="AV36" s="36" t="s">
        <v>43</v>
      </c>
      <c r="AW36" s="36" t="s">
        <v>43</v>
      </c>
      <c r="AX36" s="36" t="s">
        <v>43</v>
      </c>
      <c r="AY36" s="36" t="s">
        <v>43</v>
      </c>
      <c r="AZ36" s="73"/>
      <c r="BA36" s="38" t="s">
        <v>43</v>
      </c>
      <c r="BB36" s="38" t="s">
        <v>43</v>
      </c>
      <c r="BC36" s="38" t="s">
        <v>43</v>
      </c>
      <c r="BD36" s="38" t="s">
        <v>43</v>
      </c>
      <c r="BE36" s="38" t="s">
        <v>43</v>
      </c>
      <c r="BF36" s="38" t="s">
        <v>43</v>
      </c>
      <c r="BG36" s="38" t="s">
        <v>43</v>
      </c>
      <c r="BH36" s="38" t="s">
        <v>43</v>
      </c>
      <c r="BI36" s="38" t="s">
        <v>43</v>
      </c>
      <c r="BJ36" s="38" t="s">
        <v>43</v>
      </c>
      <c r="BK36" s="38" t="s">
        <v>43</v>
      </c>
      <c r="BL36" s="38" t="s">
        <v>43</v>
      </c>
      <c r="BM36" s="38" t="s">
        <v>43</v>
      </c>
      <c r="BN36" s="38" t="s">
        <v>43</v>
      </c>
      <c r="BO36" s="38" t="s">
        <v>43</v>
      </c>
      <c r="BP36" s="38" t="s">
        <v>43</v>
      </c>
      <c r="BQ36" s="38" t="s">
        <v>43</v>
      </c>
      <c r="BR36" s="38" t="s">
        <v>43</v>
      </c>
      <c r="BS36" s="38" t="s">
        <v>43</v>
      </c>
      <c r="BT36" s="38" t="s">
        <v>43</v>
      </c>
      <c r="BU36" s="44" t="s">
        <v>43</v>
      </c>
      <c r="BV36" s="44" t="s">
        <v>43</v>
      </c>
      <c r="BW36" s="44" t="s">
        <v>43</v>
      </c>
    </row>
    <row r="37" spans="1:77" ht="12.75" customHeight="1">
      <c r="A37" s="9" t="s">
        <v>45</v>
      </c>
      <c r="B37" s="89">
        <v>0.5861148197596796</v>
      </c>
      <c r="C37" s="85">
        <v>0.627893175074184</v>
      </c>
      <c r="D37" s="25">
        <v>0.6592039800995025</v>
      </c>
      <c r="E37" s="25">
        <v>0.6936353829557713</v>
      </c>
      <c r="F37" s="25">
        <v>0.7071150097465887</v>
      </c>
      <c r="G37" s="25">
        <v>0.659217877094972</v>
      </c>
      <c r="H37" s="25">
        <v>0.7133786848072562</v>
      </c>
      <c r="I37" s="25">
        <v>0.6338582677165354</v>
      </c>
      <c r="J37" s="25">
        <v>0.629294073235183</v>
      </c>
      <c r="K37" s="25">
        <v>0.6365235749472202</v>
      </c>
      <c r="L37" s="25">
        <v>0.6136440391759541</v>
      </c>
      <c r="M37" s="25">
        <v>0.6056793673616103</v>
      </c>
      <c r="N37" s="25">
        <v>0.6645694062131341</v>
      </c>
      <c r="O37" s="25">
        <v>0.6749041329356625</v>
      </c>
      <c r="P37" s="25">
        <v>0.6684514003294892</v>
      </c>
      <c r="Q37" s="17">
        <v>0.6895208414491625</v>
      </c>
      <c r="R37" s="17">
        <v>0.6966292134831461</v>
      </c>
      <c r="S37" s="61">
        <v>0.7068164213787761</v>
      </c>
      <c r="T37" s="17">
        <v>0.6861584011843079</v>
      </c>
      <c r="U37" s="17">
        <v>0.6796386379430159</v>
      </c>
      <c r="V37" s="17">
        <f aca="true" t="shared" si="11" ref="V37:V48">+AU37/BU37</f>
        <v>0.6556741028128031</v>
      </c>
      <c r="W37" s="17">
        <f aca="true" t="shared" si="12" ref="W37:W48">+AV37/BV37</f>
        <v>0.6737949762389681</v>
      </c>
      <c r="X37" s="17">
        <f aca="true" t="shared" si="13" ref="X37:X48">+AW37/BW37</f>
        <v>0.676950354609929</v>
      </c>
      <c r="Y37" s="43">
        <f aca="true" t="shared" si="14" ref="Y37:Y48">+AX37/BX37</f>
        <v>0.657679180887372</v>
      </c>
      <c r="Z37" s="78">
        <f aca="true" t="shared" si="15" ref="Z37:Z48">SUM(AY37/BY37)</f>
        <v>0.6493506493506493</v>
      </c>
      <c r="AA37" s="94">
        <v>878</v>
      </c>
      <c r="AB37" s="92">
        <v>1058</v>
      </c>
      <c r="AC37" s="26">
        <v>1060</v>
      </c>
      <c r="AD37" s="26">
        <v>1286</v>
      </c>
      <c r="AE37" s="26">
        <v>1451</v>
      </c>
      <c r="AF37" s="26">
        <v>1416</v>
      </c>
      <c r="AG37" s="26">
        <v>1573</v>
      </c>
      <c r="AH37" s="26">
        <v>1610</v>
      </c>
      <c r="AI37" s="26">
        <v>1667</v>
      </c>
      <c r="AJ37" s="26">
        <v>1809</v>
      </c>
      <c r="AK37" s="26">
        <v>1817</v>
      </c>
      <c r="AL37" s="26">
        <v>1685</v>
      </c>
      <c r="AM37" s="26">
        <v>1690</v>
      </c>
      <c r="AN37" s="26">
        <v>1584</v>
      </c>
      <c r="AO37" s="26">
        <v>1623</v>
      </c>
      <c r="AP37" s="26">
        <v>1770</v>
      </c>
      <c r="AQ37" s="26">
        <v>1798</v>
      </c>
      <c r="AR37" s="53">
        <v>1825</v>
      </c>
      <c r="AS37" s="26">
        <v>1854</v>
      </c>
      <c r="AT37" s="26">
        <v>1956</v>
      </c>
      <c r="AU37" s="26">
        <v>2028</v>
      </c>
      <c r="AV37" s="26">
        <v>1985</v>
      </c>
      <c r="AW37" s="26">
        <v>1909</v>
      </c>
      <c r="AX37" s="6">
        <v>1927</v>
      </c>
      <c r="AY37" s="115">
        <v>1900</v>
      </c>
      <c r="AZ37" s="106"/>
      <c r="BA37" s="4">
        <v>1498</v>
      </c>
      <c r="BB37" s="4">
        <v>1685</v>
      </c>
      <c r="BC37" s="4">
        <v>1608</v>
      </c>
      <c r="BD37" s="4">
        <v>1854</v>
      </c>
      <c r="BE37" s="4">
        <v>2052</v>
      </c>
      <c r="BF37" s="4">
        <v>2148</v>
      </c>
      <c r="BG37" s="4">
        <v>2205</v>
      </c>
      <c r="BH37" s="4">
        <v>2540</v>
      </c>
      <c r="BI37" s="4">
        <f>982+1667</f>
        <v>2649</v>
      </c>
      <c r="BJ37" s="4">
        <f>1033+1809</f>
        <v>2842</v>
      </c>
      <c r="BK37" s="4">
        <f>1144+1817</f>
        <v>2961</v>
      </c>
      <c r="BL37" s="4">
        <f>1685+1097</f>
        <v>2782</v>
      </c>
      <c r="BM37" s="4">
        <f>1690+853</f>
        <v>2543</v>
      </c>
      <c r="BN37" s="4">
        <f>1584+763</f>
        <v>2347</v>
      </c>
      <c r="BO37" s="4">
        <f>805+1623</f>
        <v>2428</v>
      </c>
      <c r="BP37" s="4">
        <f>1770+797</f>
        <v>2567</v>
      </c>
      <c r="BQ37" s="7">
        <f>1798+783</f>
        <v>2581</v>
      </c>
      <c r="BR37" s="7">
        <f>1825+757</f>
        <v>2582</v>
      </c>
      <c r="BS37" s="7">
        <v>2702</v>
      </c>
      <c r="BT37" s="7">
        <v>2878</v>
      </c>
      <c r="BU37" s="101">
        <v>3093</v>
      </c>
      <c r="BV37" s="101">
        <v>2946</v>
      </c>
      <c r="BW37" s="101">
        <v>2820</v>
      </c>
      <c r="BX37" s="101">
        <v>2930</v>
      </c>
      <c r="BY37" s="114">
        <v>2926</v>
      </c>
    </row>
    <row r="38" spans="1:77" ht="12.75" customHeight="1">
      <c r="A38" s="9" t="s">
        <v>46</v>
      </c>
      <c r="B38" s="89">
        <v>0.4715447154471545</v>
      </c>
      <c r="C38" s="85">
        <v>0.5111507582515611</v>
      </c>
      <c r="D38" s="25">
        <v>0.5500963391136802</v>
      </c>
      <c r="E38" s="25">
        <v>0.5446927374301676</v>
      </c>
      <c r="F38" s="25">
        <v>0.5644859813084112</v>
      </c>
      <c r="G38" s="25">
        <v>0.5867992766726944</v>
      </c>
      <c r="H38" s="25">
        <v>0.5634016704631739</v>
      </c>
      <c r="I38" s="25">
        <v>0.59</v>
      </c>
      <c r="J38" s="25">
        <v>0.5948616600790514</v>
      </c>
      <c r="K38" s="25">
        <v>0.6259124087591241</v>
      </c>
      <c r="L38" s="25">
        <v>0.6370530877573131</v>
      </c>
      <c r="M38" s="25">
        <v>0.6231071228266966</v>
      </c>
      <c r="N38" s="25">
        <v>0.6314142678347935</v>
      </c>
      <c r="O38" s="25">
        <v>0.6590649942987458</v>
      </c>
      <c r="P38" s="25">
        <v>0.6531461258450338</v>
      </c>
      <c r="Q38" s="17">
        <v>0.6138032305433186</v>
      </c>
      <c r="R38" s="17">
        <v>0.6327954644570432</v>
      </c>
      <c r="S38" s="61">
        <v>0.6373752877973906</v>
      </c>
      <c r="T38" s="17">
        <v>0.6358066712049013</v>
      </c>
      <c r="U38" s="17">
        <v>0.6371979198531661</v>
      </c>
      <c r="V38" s="17">
        <f t="shared" si="11"/>
        <v>0.6357615894039735</v>
      </c>
      <c r="W38" s="17">
        <f t="shared" si="12"/>
        <v>0.6321070234113713</v>
      </c>
      <c r="X38" s="17">
        <f t="shared" si="13"/>
        <v>0.6347402597402597</v>
      </c>
      <c r="Y38" s="43">
        <f t="shared" si="14"/>
        <v>0.6215087444531454</v>
      </c>
      <c r="Z38" s="78">
        <f t="shared" si="15"/>
        <v>0.6107816711590297</v>
      </c>
      <c r="AA38" s="94">
        <v>464</v>
      </c>
      <c r="AB38" s="92">
        <v>573</v>
      </c>
      <c r="AC38" s="26">
        <v>571</v>
      </c>
      <c r="AD38" s="26">
        <v>585</v>
      </c>
      <c r="AE38" s="26">
        <v>604</v>
      </c>
      <c r="AF38" s="26">
        <v>649</v>
      </c>
      <c r="AG38" s="26">
        <v>742</v>
      </c>
      <c r="AH38" s="26">
        <v>826</v>
      </c>
      <c r="AI38" s="26">
        <v>903</v>
      </c>
      <c r="AJ38" s="26">
        <v>1029</v>
      </c>
      <c r="AK38" s="26">
        <v>1176</v>
      </c>
      <c r="AL38" s="26">
        <v>1111</v>
      </c>
      <c r="AM38" s="26">
        <v>1009</v>
      </c>
      <c r="AN38" s="26">
        <f>497+659</f>
        <v>1156</v>
      </c>
      <c r="AO38" s="26">
        <v>1256</v>
      </c>
      <c r="AP38" s="26">
        <v>1254</v>
      </c>
      <c r="AQ38" s="26">
        <v>1451</v>
      </c>
      <c r="AR38" s="53">
        <v>1661</v>
      </c>
      <c r="AS38" s="26">
        <v>1868</v>
      </c>
      <c r="AT38" s="26">
        <v>2083</v>
      </c>
      <c r="AU38" s="26">
        <v>2304</v>
      </c>
      <c r="AV38" s="26">
        <v>2268</v>
      </c>
      <c r="AW38" s="26">
        <v>2346</v>
      </c>
      <c r="AX38" s="6">
        <v>2381</v>
      </c>
      <c r="AY38" s="115">
        <v>2266</v>
      </c>
      <c r="AZ38" s="106"/>
      <c r="BA38" s="4">
        <v>984</v>
      </c>
      <c r="BB38" s="4">
        <v>1121</v>
      </c>
      <c r="BC38" s="4">
        <v>1038</v>
      </c>
      <c r="BD38" s="4">
        <v>1074</v>
      </c>
      <c r="BE38" s="4">
        <v>1070</v>
      </c>
      <c r="BF38" s="4">
        <v>1106</v>
      </c>
      <c r="BG38" s="4">
        <v>1317</v>
      </c>
      <c r="BH38" s="4">
        <v>1400</v>
      </c>
      <c r="BI38" s="4">
        <f>615+903</f>
        <v>1518</v>
      </c>
      <c r="BJ38" s="4">
        <f>615+1029</f>
        <v>1644</v>
      </c>
      <c r="BK38" s="4">
        <f>670+1176</f>
        <v>1846</v>
      </c>
      <c r="BL38" s="4">
        <f>1111+672</f>
        <v>1783</v>
      </c>
      <c r="BM38" s="4">
        <f>1009+589</f>
        <v>1598</v>
      </c>
      <c r="BN38" s="4">
        <f>1156+598</f>
        <v>1754</v>
      </c>
      <c r="BO38" s="4">
        <f>1256+667</f>
        <v>1923</v>
      </c>
      <c r="BP38" s="4">
        <f>1254+789</f>
        <v>2043</v>
      </c>
      <c r="BQ38" s="7">
        <f>1451+842</f>
        <v>2293</v>
      </c>
      <c r="BR38" s="7">
        <f>945+1661</f>
        <v>2606</v>
      </c>
      <c r="BS38" s="7">
        <v>2938</v>
      </c>
      <c r="BT38" s="7">
        <v>3269</v>
      </c>
      <c r="BU38" s="101">
        <v>3624</v>
      </c>
      <c r="BV38" s="101">
        <v>3588</v>
      </c>
      <c r="BW38" s="101">
        <v>3696</v>
      </c>
      <c r="BX38" s="101">
        <v>3831</v>
      </c>
      <c r="BY38" s="114">
        <v>3710</v>
      </c>
    </row>
    <row r="39" spans="1:77" ht="12.75" customHeight="1">
      <c r="A39" s="8" t="s">
        <v>102</v>
      </c>
      <c r="B39" s="89">
        <v>0.6931818181818182</v>
      </c>
      <c r="C39" s="85">
        <v>0.6758147512864494</v>
      </c>
      <c r="D39" s="25">
        <v>0.7170474516695958</v>
      </c>
      <c r="E39" s="25">
        <v>0.725328947368421</v>
      </c>
      <c r="F39" s="25">
        <v>0.6989409984871406</v>
      </c>
      <c r="G39" s="25">
        <v>0.715547703180212</v>
      </c>
      <c r="H39" s="25">
        <v>0.7297297297297297</v>
      </c>
      <c r="I39" s="25">
        <v>0.7070866141732284</v>
      </c>
      <c r="J39" s="25">
        <v>0.7251461988304093</v>
      </c>
      <c r="K39" s="25">
        <v>0.735582154515778</v>
      </c>
      <c r="L39" s="25">
        <v>0.709577754891864</v>
      </c>
      <c r="M39" s="25">
        <v>0.6777777777777778</v>
      </c>
      <c r="N39" s="25">
        <v>0.7106299212598425</v>
      </c>
      <c r="O39" s="25">
        <v>0.7026748971193416</v>
      </c>
      <c r="P39" s="25">
        <v>0.6785095320623917</v>
      </c>
      <c r="Q39" s="17">
        <v>0.6825757575757576</v>
      </c>
      <c r="R39" s="17">
        <v>0.674945215485756</v>
      </c>
      <c r="S39" s="61">
        <v>0.6850393700787402</v>
      </c>
      <c r="T39" s="17">
        <v>0.681311475409836</v>
      </c>
      <c r="U39" s="17">
        <v>0.6606170598911071</v>
      </c>
      <c r="V39" s="17">
        <f t="shared" si="11"/>
        <v>0.6680232558139535</v>
      </c>
      <c r="W39" s="17">
        <f t="shared" si="12"/>
        <v>0.6586227192466156</v>
      </c>
      <c r="X39" s="17">
        <f t="shared" si="13"/>
        <v>0.6670716889428918</v>
      </c>
      <c r="Y39" s="43">
        <f t="shared" si="14"/>
        <v>0.6537313432835821</v>
      </c>
      <c r="Z39" s="78">
        <f t="shared" si="15"/>
        <v>0.6501256281407035</v>
      </c>
      <c r="AA39" s="94">
        <v>366</v>
      </c>
      <c r="AB39" s="92">
        <v>394</v>
      </c>
      <c r="AC39" s="26">
        <v>408</v>
      </c>
      <c r="AD39" s="26">
        <v>441</v>
      </c>
      <c r="AE39" s="26">
        <v>462</v>
      </c>
      <c r="AF39" s="26">
        <v>405</v>
      </c>
      <c r="AG39" s="26">
        <v>405</v>
      </c>
      <c r="AH39" s="26">
        <v>449</v>
      </c>
      <c r="AI39" s="26">
        <v>620</v>
      </c>
      <c r="AJ39" s="26">
        <v>676</v>
      </c>
      <c r="AK39" s="26">
        <v>689</v>
      </c>
      <c r="AL39" s="26">
        <v>671</v>
      </c>
      <c r="AM39" s="26">
        <v>722</v>
      </c>
      <c r="AN39" s="26">
        <v>683</v>
      </c>
      <c r="AO39" s="26">
        <v>783</v>
      </c>
      <c r="AP39" s="26">
        <v>901</v>
      </c>
      <c r="AQ39" s="26">
        <v>924</v>
      </c>
      <c r="AR39" s="53">
        <v>957</v>
      </c>
      <c r="AS39" s="26">
        <v>1039</v>
      </c>
      <c r="AT39" s="26">
        <v>1092</v>
      </c>
      <c r="AU39" s="26">
        <v>1149</v>
      </c>
      <c r="AV39" s="26">
        <v>1119</v>
      </c>
      <c r="AW39" s="26">
        <v>1098</v>
      </c>
      <c r="AX39" s="6">
        <v>1095</v>
      </c>
      <c r="AY39" s="115">
        <v>1035</v>
      </c>
      <c r="AZ39" s="106"/>
      <c r="BA39" s="4">
        <v>528</v>
      </c>
      <c r="BB39" s="4">
        <v>583</v>
      </c>
      <c r="BC39" s="4">
        <v>569</v>
      </c>
      <c r="BD39" s="4">
        <v>608</v>
      </c>
      <c r="BE39" s="4">
        <v>661</v>
      </c>
      <c r="BF39" s="4">
        <v>566</v>
      </c>
      <c r="BG39" s="4">
        <v>555</v>
      </c>
      <c r="BH39" s="4">
        <v>635</v>
      </c>
      <c r="BI39" s="4">
        <f>620+235</f>
        <v>855</v>
      </c>
      <c r="BJ39" s="4">
        <f>243+676</f>
        <v>919</v>
      </c>
      <c r="BK39" s="4">
        <f>282+689</f>
        <v>971</v>
      </c>
      <c r="BL39" s="4">
        <f>671+319</f>
        <v>990</v>
      </c>
      <c r="BM39" s="4">
        <f>722+294</f>
        <v>1016</v>
      </c>
      <c r="BN39" s="4">
        <f>683+289</f>
        <v>972</v>
      </c>
      <c r="BO39" s="4">
        <f>371+783</f>
        <v>1154</v>
      </c>
      <c r="BP39" s="4">
        <f>901+419</f>
        <v>1320</v>
      </c>
      <c r="BQ39" s="7">
        <f>924+445</f>
        <v>1369</v>
      </c>
      <c r="BR39" s="7">
        <f>440+957</f>
        <v>1397</v>
      </c>
      <c r="BS39" s="7">
        <v>1525</v>
      </c>
      <c r="BT39" s="7">
        <v>1653</v>
      </c>
      <c r="BU39" s="101">
        <v>1720</v>
      </c>
      <c r="BV39" s="101">
        <v>1699</v>
      </c>
      <c r="BW39" s="101">
        <v>1646</v>
      </c>
      <c r="BX39" s="101">
        <v>1675</v>
      </c>
      <c r="BY39" s="114">
        <v>1592</v>
      </c>
    </row>
    <row r="40" spans="1:77" ht="12.75" customHeight="1">
      <c r="A40" s="9" t="s">
        <v>47</v>
      </c>
      <c r="B40" s="89">
        <v>0.6660447761194029</v>
      </c>
      <c r="C40" s="85">
        <v>0.7156549520766773</v>
      </c>
      <c r="D40" s="25">
        <v>0.75</v>
      </c>
      <c r="E40" s="25">
        <v>0.6635006784260515</v>
      </c>
      <c r="F40" s="25">
        <v>0.7271573604060914</v>
      </c>
      <c r="G40" s="25">
        <v>0.7706146926536732</v>
      </c>
      <c r="H40" s="25">
        <v>0.7788331071913162</v>
      </c>
      <c r="I40" s="25">
        <v>0.7479289940828402</v>
      </c>
      <c r="J40" s="25">
        <v>0.7397563676633444</v>
      </c>
      <c r="K40" s="25">
        <v>0.7456230690010298</v>
      </c>
      <c r="L40" s="25">
        <v>0.7061657032755299</v>
      </c>
      <c r="M40" s="25">
        <v>0.6684210526315789</v>
      </c>
      <c r="N40" s="25">
        <v>0.6854130052724078</v>
      </c>
      <c r="O40" s="25">
        <v>0.6685133887349953</v>
      </c>
      <c r="P40" s="25">
        <v>0.6801346801346801</v>
      </c>
      <c r="Q40" s="17">
        <v>0.7009646302250804</v>
      </c>
      <c r="R40" s="17">
        <v>0.6909090909090909</v>
      </c>
      <c r="S40" s="61">
        <v>0.6770280515542078</v>
      </c>
      <c r="T40" s="17">
        <v>0.6932952924393724</v>
      </c>
      <c r="U40" s="17">
        <v>0.6839762611275965</v>
      </c>
      <c r="V40" s="17">
        <f t="shared" si="11"/>
        <v>0.6787204450625869</v>
      </c>
      <c r="W40" s="17">
        <f t="shared" si="12"/>
        <v>0.6717914438502673</v>
      </c>
      <c r="X40" s="17">
        <f t="shared" si="13"/>
        <v>0.7147937411095305</v>
      </c>
      <c r="Y40" s="43">
        <f t="shared" si="14"/>
        <v>0.7071535022354695</v>
      </c>
      <c r="Z40" s="78">
        <f t="shared" si="15"/>
        <v>0.6995884773662552</v>
      </c>
      <c r="AA40" s="94">
        <v>357</v>
      </c>
      <c r="AB40" s="92">
        <v>448</v>
      </c>
      <c r="AC40" s="26">
        <v>456</v>
      </c>
      <c r="AD40" s="26">
        <v>489</v>
      </c>
      <c r="AE40" s="26">
        <v>573</v>
      </c>
      <c r="AF40" s="26">
        <v>514</v>
      </c>
      <c r="AG40" s="26">
        <v>574</v>
      </c>
      <c r="AH40" s="26">
        <v>632</v>
      </c>
      <c r="AI40" s="26">
        <v>668</v>
      </c>
      <c r="AJ40" s="26">
        <v>724</v>
      </c>
      <c r="AK40" s="26">
        <v>733</v>
      </c>
      <c r="AL40" s="26">
        <v>762</v>
      </c>
      <c r="AM40" s="26">
        <v>780</v>
      </c>
      <c r="AN40" s="26">
        <v>724</v>
      </c>
      <c r="AO40" s="26">
        <v>808</v>
      </c>
      <c r="AP40" s="26">
        <v>872</v>
      </c>
      <c r="AQ40" s="26">
        <v>950</v>
      </c>
      <c r="AR40" s="53">
        <v>893</v>
      </c>
      <c r="AS40" s="26">
        <v>972</v>
      </c>
      <c r="AT40" s="26">
        <v>922</v>
      </c>
      <c r="AU40" s="26">
        <v>976</v>
      </c>
      <c r="AV40" s="26">
        <v>1005</v>
      </c>
      <c r="AW40" s="26">
        <v>1005</v>
      </c>
      <c r="AX40" s="6">
        <v>949</v>
      </c>
      <c r="AY40" s="115">
        <v>1020</v>
      </c>
      <c r="AZ40" s="106"/>
      <c r="BA40" s="4">
        <v>536</v>
      </c>
      <c r="BB40" s="4">
        <v>626</v>
      </c>
      <c r="BC40" s="4">
        <v>608</v>
      </c>
      <c r="BD40" s="4">
        <v>737</v>
      </c>
      <c r="BE40" s="4">
        <v>788</v>
      </c>
      <c r="BF40" s="4">
        <v>667</v>
      </c>
      <c r="BG40" s="4">
        <v>737</v>
      </c>
      <c r="BH40" s="4">
        <v>845</v>
      </c>
      <c r="BI40" s="4">
        <f>235+668</f>
        <v>903</v>
      </c>
      <c r="BJ40" s="4">
        <f>724+247</f>
        <v>971</v>
      </c>
      <c r="BK40" s="4">
        <f>733+305</f>
        <v>1038</v>
      </c>
      <c r="BL40" s="4">
        <f>762+378</f>
        <v>1140</v>
      </c>
      <c r="BM40" s="4">
        <f>780+358</f>
        <v>1138</v>
      </c>
      <c r="BN40" s="4">
        <f>359+724</f>
        <v>1083</v>
      </c>
      <c r="BO40" s="4">
        <f>808+380</f>
        <v>1188</v>
      </c>
      <c r="BP40" s="4">
        <f>872+372</f>
        <v>1244</v>
      </c>
      <c r="BQ40" s="7">
        <f>950+425</f>
        <v>1375</v>
      </c>
      <c r="BR40" s="7">
        <f>893+426</f>
        <v>1319</v>
      </c>
      <c r="BS40" s="7">
        <v>1402</v>
      </c>
      <c r="BT40" s="7">
        <v>1348</v>
      </c>
      <c r="BU40" s="101">
        <v>1438</v>
      </c>
      <c r="BV40" s="101">
        <v>1496</v>
      </c>
      <c r="BW40" s="101">
        <v>1406</v>
      </c>
      <c r="BX40" s="101">
        <v>1342</v>
      </c>
      <c r="BY40" s="114">
        <v>1458</v>
      </c>
    </row>
    <row r="41" spans="1:77" ht="12.75" customHeight="1">
      <c r="A41" s="9" t="s">
        <v>48</v>
      </c>
      <c r="B41" s="90" t="s">
        <v>43</v>
      </c>
      <c r="C41" s="71" t="s">
        <v>43</v>
      </c>
      <c r="D41" s="40" t="s">
        <v>43</v>
      </c>
      <c r="E41" s="40" t="s">
        <v>43</v>
      </c>
      <c r="F41" s="40" t="s">
        <v>43</v>
      </c>
      <c r="G41" s="40" t="s">
        <v>43</v>
      </c>
      <c r="H41" s="40" t="s">
        <v>43</v>
      </c>
      <c r="I41" s="40" t="s">
        <v>43</v>
      </c>
      <c r="J41" s="40" t="s">
        <v>43</v>
      </c>
      <c r="K41" s="25">
        <v>0.5148430873621713</v>
      </c>
      <c r="L41" s="25">
        <v>0.5441389290882779</v>
      </c>
      <c r="M41" s="25">
        <v>0.5497614178595773</v>
      </c>
      <c r="N41" s="25">
        <v>0.5844911147011309</v>
      </c>
      <c r="O41" s="25">
        <v>0.5771314513829484</v>
      </c>
      <c r="P41" s="25">
        <v>0.5655949307674255</v>
      </c>
      <c r="Q41" s="17">
        <v>0.5392864106063561</v>
      </c>
      <c r="R41" s="17">
        <v>0.529810043257476</v>
      </c>
      <c r="S41" s="61">
        <v>0.5126646403242148</v>
      </c>
      <c r="T41" s="17">
        <v>0.5158442377423932</v>
      </c>
      <c r="U41" s="17">
        <v>0.5015189539030511</v>
      </c>
      <c r="V41" s="17">
        <f t="shared" si="11"/>
        <v>0.5167281672816728</v>
      </c>
      <c r="W41" s="17">
        <f t="shared" si="12"/>
        <v>0.534990574929312</v>
      </c>
      <c r="X41" s="17">
        <f t="shared" si="13"/>
        <v>0.5413550619488782</v>
      </c>
      <c r="Y41" s="43">
        <f t="shared" si="14"/>
        <v>0.5457840315531394</v>
      </c>
      <c r="Z41" s="78">
        <f t="shared" si="15"/>
        <v>0.5503258508327299</v>
      </c>
      <c r="AA41" s="95" t="s">
        <v>43</v>
      </c>
      <c r="AB41" s="93" t="s">
        <v>43</v>
      </c>
      <c r="AC41" s="41" t="s">
        <v>43</v>
      </c>
      <c r="AD41" s="41" t="s">
        <v>43</v>
      </c>
      <c r="AE41" s="41" t="s">
        <v>43</v>
      </c>
      <c r="AF41" s="41" t="s">
        <v>43</v>
      </c>
      <c r="AG41" s="41" t="s">
        <v>43</v>
      </c>
      <c r="AH41" s="41" t="s">
        <v>43</v>
      </c>
      <c r="AI41" s="41" t="s">
        <v>43</v>
      </c>
      <c r="AJ41" s="26">
        <v>607</v>
      </c>
      <c r="AK41" s="26">
        <v>1128</v>
      </c>
      <c r="AL41" s="26">
        <v>1613</v>
      </c>
      <c r="AM41" s="26">
        <v>1809</v>
      </c>
      <c r="AN41" s="26">
        <v>2024</v>
      </c>
      <c r="AO41" s="26">
        <v>2410</v>
      </c>
      <c r="AP41" s="26">
        <v>2766</v>
      </c>
      <c r="AQ41" s="26">
        <v>2817</v>
      </c>
      <c r="AR41" s="53">
        <v>3036</v>
      </c>
      <c r="AS41" s="26">
        <v>3272</v>
      </c>
      <c r="AT41" s="26">
        <v>3797</v>
      </c>
      <c r="AU41" s="26">
        <v>4201</v>
      </c>
      <c r="AV41" s="26">
        <v>4541</v>
      </c>
      <c r="AW41" s="26">
        <v>4850</v>
      </c>
      <c r="AX41" s="6">
        <v>5120</v>
      </c>
      <c r="AY41" s="115">
        <v>5320</v>
      </c>
      <c r="AZ41" s="106"/>
      <c r="BJ41" s="4">
        <f>572+607</f>
        <v>1179</v>
      </c>
      <c r="BK41" s="4">
        <v>2073</v>
      </c>
      <c r="BL41" s="4">
        <f>1613+1321</f>
        <v>2934</v>
      </c>
      <c r="BM41" s="4">
        <f>1809+1286</f>
        <v>3095</v>
      </c>
      <c r="BN41" s="4">
        <f>1483+2024</f>
        <v>3507</v>
      </c>
      <c r="BO41" s="4">
        <f>2410+1851</f>
        <v>4261</v>
      </c>
      <c r="BP41" s="4">
        <f>2766+2363</f>
        <v>5129</v>
      </c>
      <c r="BQ41" s="7">
        <f>2817+2500</f>
        <v>5317</v>
      </c>
      <c r="BR41" s="7">
        <f>3036+2886</f>
        <v>5922</v>
      </c>
      <c r="BS41" s="7">
        <v>6343</v>
      </c>
      <c r="BT41" s="7">
        <v>7571</v>
      </c>
      <c r="BU41" s="101">
        <v>8130</v>
      </c>
      <c r="BV41" s="101">
        <v>8488</v>
      </c>
      <c r="BW41" s="101">
        <v>8959</v>
      </c>
      <c r="BX41" s="101">
        <v>9381</v>
      </c>
      <c r="BY41" s="114">
        <v>9667</v>
      </c>
    </row>
    <row r="42" spans="1:77" ht="12.75" customHeight="1">
      <c r="A42" s="9" t="s">
        <v>50</v>
      </c>
      <c r="B42" s="90" t="s">
        <v>43</v>
      </c>
      <c r="C42" s="71" t="s">
        <v>43</v>
      </c>
      <c r="D42" s="40" t="s">
        <v>43</v>
      </c>
      <c r="E42" s="40" t="s">
        <v>43</v>
      </c>
      <c r="F42" s="40" t="s">
        <v>43</v>
      </c>
      <c r="G42" s="25">
        <v>0.7394957983193278</v>
      </c>
      <c r="H42" s="25">
        <v>0.7136505113383727</v>
      </c>
      <c r="I42" s="25">
        <v>0.7113682777399591</v>
      </c>
      <c r="J42" s="25">
        <v>0.703281027104137</v>
      </c>
      <c r="K42" s="25">
        <v>0.7062322213602276</v>
      </c>
      <c r="L42" s="25">
        <v>0.6708559046587216</v>
      </c>
      <c r="M42" s="25">
        <v>0.6458244111349036</v>
      </c>
      <c r="N42" s="25">
        <v>0.6490881125027467</v>
      </c>
      <c r="O42" s="25">
        <v>0.6503496503496503</v>
      </c>
      <c r="P42" s="25">
        <v>0.6368907021687782</v>
      </c>
      <c r="Q42" s="17">
        <v>0.625569871159564</v>
      </c>
      <c r="R42" s="17">
        <v>0.6159527326440177</v>
      </c>
      <c r="S42" s="61">
        <v>0.6188925081433225</v>
      </c>
      <c r="T42" s="17">
        <v>0.6271338724168913</v>
      </c>
      <c r="U42" s="17">
        <v>0.6180521795495058</v>
      </c>
      <c r="V42" s="17">
        <f t="shared" si="11"/>
        <v>0.6113127646702964</v>
      </c>
      <c r="W42" s="17">
        <f t="shared" si="12"/>
        <v>0.6100657108721624</v>
      </c>
      <c r="X42" s="17">
        <f t="shared" si="13"/>
        <v>0.6070584760779681</v>
      </c>
      <c r="Y42" s="43">
        <f t="shared" si="14"/>
        <v>0.6075691411935954</v>
      </c>
      <c r="Z42" s="78">
        <f t="shared" si="15"/>
        <v>0.6040327293980129</v>
      </c>
      <c r="AA42" s="95" t="s">
        <v>43</v>
      </c>
      <c r="AB42" s="93" t="s">
        <v>43</v>
      </c>
      <c r="AC42" s="41" t="s">
        <v>43</v>
      </c>
      <c r="AD42" s="41" t="s">
        <v>43</v>
      </c>
      <c r="AE42" s="41" t="s">
        <v>43</v>
      </c>
      <c r="AF42" s="26">
        <v>1144</v>
      </c>
      <c r="AG42" s="26">
        <v>1605</v>
      </c>
      <c r="AH42" s="26">
        <v>2090</v>
      </c>
      <c r="AI42" s="26">
        <v>2465</v>
      </c>
      <c r="AJ42" s="26">
        <v>2731</v>
      </c>
      <c r="AK42" s="26">
        <v>3096</v>
      </c>
      <c r="AL42" s="26">
        <v>3016</v>
      </c>
      <c r="AM42" s="26">
        <v>2954</v>
      </c>
      <c r="AN42" s="26">
        <v>2976</v>
      </c>
      <c r="AO42" s="26">
        <v>2966</v>
      </c>
      <c r="AP42" s="26">
        <v>3156</v>
      </c>
      <c r="AQ42" s="26">
        <v>3336</v>
      </c>
      <c r="AR42" s="53">
        <v>3420</v>
      </c>
      <c r="AS42" s="26">
        <v>3490</v>
      </c>
      <c r="AT42" s="26">
        <v>3814</v>
      </c>
      <c r="AU42" s="26">
        <v>4042</v>
      </c>
      <c r="AV42" s="26">
        <v>4085</v>
      </c>
      <c r="AW42" s="26">
        <v>4111</v>
      </c>
      <c r="AX42" s="6">
        <v>4174</v>
      </c>
      <c r="AY42" s="115">
        <v>4134</v>
      </c>
      <c r="AZ42" s="106"/>
      <c r="BF42" s="4">
        <v>1547</v>
      </c>
      <c r="BG42" s="4">
        <v>2249</v>
      </c>
      <c r="BH42" s="4">
        <v>2938</v>
      </c>
      <c r="BI42" s="4">
        <f>1040+2465</f>
        <v>3505</v>
      </c>
      <c r="BJ42" s="4">
        <f>2731+1136</f>
        <v>3867</v>
      </c>
      <c r="BK42" s="4">
        <f>3096+1519</f>
        <v>4615</v>
      </c>
      <c r="BL42" s="4">
        <f>3016+1654</f>
        <v>4670</v>
      </c>
      <c r="BM42" s="4">
        <f>1597+2954</f>
        <v>4551</v>
      </c>
      <c r="BN42" s="4">
        <f>1600+2976</f>
        <v>4576</v>
      </c>
      <c r="BO42" s="4">
        <f>2966+1691</f>
        <v>4657</v>
      </c>
      <c r="BP42" s="4">
        <f>3156+1889</f>
        <v>5045</v>
      </c>
      <c r="BQ42" s="7">
        <f>3336+2080</f>
        <v>5416</v>
      </c>
      <c r="BR42" s="7">
        <f>2106+3420</f>
        <v>5526</v>
      </c>
      <c r="BS42" s="7">
        <v>5565</v>
      </c>
      <c r="BT42" s="7">
        <v>6171</v>
      </c>
      <c r="BU42" s="101">
        <v>6612</v>
      </c>
      <c r="BV42" s="101">
        <v>6696</v>
      </c>
      <c r="BW42" s="101">
        <v>6772</v>
      </c>
      <c r="BX42" s="101">
        <v>6870</v>
      </c>
      <c r="BY42" s="114">
        <v>6844</v>
      </c>
    </row>
    <row r="43" spans="1:77" ht="12.75" customHeight="1">
      <c r="A43" s="8" t="s">
        <v>51</v>
      </c>
      <c r="B43" s="89">
        <v>0.5721130018172806</v>
      </c>
      <c r="C43" s="85">
        <v>0.5561161130083825</v>
      </c>
      <c r="D43" s="25">
        <v>0.5602855177158583</v>
      </c>
      <c r="E43" s="25">
        <v>0.5695260837619398</v>
      </c>
      <c r="F43" s="25">
        <v>0.5696812096696523</v>
      </c>
      <c r="G43" s="25">
        <v>0.5688217404100854</v>
      </c>
      <c r="H43" s="25">
        <v>0.5721779677482028</v>
      </c>
      <c r="I43" s="25">
        <v>0.5771079881656804</v>
      </c>
      <c r="J43" s="25">
        <v>0.5907335907335908</v>
      </c>
      <c r="K43" s="25">
        <v>0.5967946838659239</v>
      </c>
      <c r="L43" s="25">
        <v>0.6114728682170543</v>
      </c>
      <c r="M43" s="25">
        <v>0.6163440860215054</v>
      </c>
      <c r="N43" s="25">
        <v>0.6113074204946997</v>
      </c>
      <c r="O43" s="25">
        <v>0.6314122862571248</v>
      </c>
      <c r="P43" s="25">
        <v>0.6331256771397616</v>
      </c>
      <c r="Q43" s="17">
        <v>0.6165957446808511</v>
      </c>
      <c r="R43" s="17">
        <v>0.6125544165145345</v>
      </c>
      <c r="S43" s="61">
        <v>0.6217175301632364</v>
      </c>
      <c r="T43" s="17">
        <v>0.6309417040358745</v>
      </c>
      <c r="U43" s="17">
        <v>0.6382149046793761</v>
      </c>
      <c r="V43" s="17">
        <f t="shared" si="11"/>
        <v>0.6464535601591439</v>
      </c>
      <c r="W43" s="17">
        <f t="shared" si="12"/>
        <v>0.6618553811659192</v>
      </c>
      <c r="X43" s="17">
        <f t="shared" si="13"/>
        <v>0.6512964054213317</v>
      </c>
      <c r="Y43" s="43">
        <f t="shared" si="14"/>
        <v>0.656575065983543</v>
      </c>
      <c r="Z43" s="78">
        <f t="shared" si="15"/>
        <v>0.6601380638946861</v>
      </c>
      <c r="AA43" s="94">
        <v>6926</v>
      </c>
      <c r="AB43" s="92">
        <v>7165</v>
      </c>
      <c r="AC43" s="26">
        <v>6515</v>
      </c>
      <c r="AD43" s="26">
        <v>6201</v>
      </c>
      <c r="AE43" s="26">
        <v>5915</v>
      </c>
      <c r="AF43" s="26">
        <v>5798</v>
      </c>
      <c r="AG43" s="26">
        <v>5890</v>
      </c>
      <c r="AH43" s="26">
        <v>6242</v>
      </c>
      <c r="AI43" s="26">
        <v>6273</v>
      </c>
      <c r="AJ43" s="26">
        <v>6107</v>
      </c>
      <c r="AK43" s="26">
        <v>5916</v>
      </c>
      <c r="AL43" s="26">
        <v>5732</v>
      </c>
      <c r="AM43" s="26">
        <v>5190</v>
      </c>
      <c r="AN43" s="26">
        <v>4985</v>
      </c>
      <c r="AO43" s="26">
        <v>4675</v>
      </c>
      <c r="AP43" s="26">
        <v>4347</v>
      </c>
      <c r="AQ43" s="26">
        <v>4362</v>
      </c>
      <c r="AR43" s="53">
        <v>4380</v>
      </c>
      <c r="AS43" s="26">
        <v>4221</v>
      </c>
      <c r="AT43" s="26">
        <v>4419</v>
      </c>
      <c r="AU43" s="26">
        <v>4712</v>
      </c>
      <c r="AV43" s="26">
        <v>4723</v>
      </c>
      <c r="AW43" s="26">
        <v>4421</v>
      </c>
      <c r="AX43" s="6">
        <v>4229</v>
      </c>
      <c r="AY43" s="115">
        <v>4112</v>
      </c>
      <c r="AZ43" s="106"/>
      <c r="BA43" s="4">
        <v>12106</v>
      </c>
      <c r="BB43" s="4">
        <v>12884</v>
      </c>
      <c r="BC43" s="4">
        <v>11628</v>
      </c>
      <c r="BD43" s="4">
        <v>10888</v>
      </c>
      <c r="BE43" s="4">
        <v>10383</v>
      </c>
      <c r="BF43" s="4">
        <v>10193</v>
      </c>
      <c r="BG43" s="4">
        <v>10294</v>
      </c>
      <c r="BH43" s="4">
        <v>10816</v>
      </c>
      <c r="BI43" s="4">
        <f>4346+6273</f>
        <v>10619</v>
      </c>
      <c r="BJ43" s="4">
        <f>6107+4126</f>
        <v>10233</v>
      </c>
      <c r="BK43" s="4">
        <f>3759+5916</f>
        <v>9675</v>
      </c>
      <c r="BL43" s="4">
        <f>5732+3568</f>
        <v>9300</v>
      </c>
      <c r="BM43" s="4">
        <f>3300+5190</f>
        <v>8490</v>
      </c>
      <c r="BN43" s="4">
        <f>4985+2910</f>
        <v>7895</v>
      </c>
      <c r="BO43" s="4">
        <f>4675+2709</f>
        <v>7384</v>
      </c>
      <c r="BP43" s="4">
        <f>4347+2703</f>
        <v>7050</v>
      </c>
      <c r="BQ43" s="7">
        <f>4362+2759</f>
        <v>7121</v>
      </c>
      <c r="BR43" s="7">
        <f>2665+4380</f>
        <v>7045</v>
      </c>
      <c r="BS43" s="7">
        <v>6690</v>
      </c>
      <c r="BT43" s="7">
        <v>6924</v>
      </c>
      <c r="BU43" s="101">
        <v>7289</v>
      </c>
      <c r="BV43" s="101">
        <v>7136</v>
      </c>
      <c r="BW43" s="101">
        <v>6788</v>
      </c>
      <c r="BX43" s="101">
        <v>6441</v>
      </c>
      <c r="BY43" s="114">
        <v>6229</v>
      </c>
    </row>
    <row r="44" spans="1:77" ht="12.75" customHeight="1">
      <c r="A44" s="8" t="s">
        <v>52</v>
      </c>
      <c r="B44" s="89">
        <v>0.6177997214837321</v>
      </c>
      <c r="C44" s="85">
        <v>0.5756164072264516</v>
      </c>
      <c r="D44" s="25">
        <v>0.5853625357094273</v>
      </c>
      <c r="E44" s="25">
        <v>0.5870367636202569</v>
      </c>
      <c r="F44" s="25">
        <v>0.5874205637933844</v>
      </c>
      <c r="G44" s="25">
        <v>0.5779050736497545</v>
      </c>
      <c r="H44" s="25">
        <v>0.582513308598161</v>
      </c>
      <c r="I44" s="25">
        <v>0.5922447743108149</v>
      </c>
      <c r="J44" s="25">
        <v>0.5893307196863624</v>
      </c>
      <c r="K44" s="25">
        <v>0.6063730084348641</v>
      </c>
      <c r="L44" s="25">
        <v>0.613167636171338</v>
      </c>
      <c r="M44" s="25">
        <v>0.6210200056353903</v>
      </c>
      <c r="N44" s="25">
        <v>0.618452030606239</v>
      </c>
      <c r="O44" s="25">
        <v>0.6014760147601476</v>
      </c>
      <c r="P44" s="25">
        <v>0.5993625498007968</v>
      </c>
      <c r="Q44" s="17">
        <v>0.599802371541502</v>
      </c>
      <c r="R44" s="17">
        <v>0.5986035422343324</v>
      </c>
      <c r="S44" s="61">
        <v>0.6081164807930607</v>
      </c>
      <c r="T44" s="17">
        <v>0.6066083864276189</v>
      </c>
      <c r="U44" s="17">
        <v>0.6147186147186147</v>
      </c>
      <c r="V44" s="17">
        <f t="shared" si="11"/>
        <v>0.6272010512483575</v>
      </c>
      <c r="W44" s="17">
        <f t="shared" si="12"/>
        <v>0.6256599788806758</v>
      </c>
      <c r="X44" s="17">
        <f t="shared" si="13"/>
        <v>0.6472141169931916</v>
      </c>
      <c r="Y44" s="43">
        <f t="shared" si="14"/>
        <v>0.6495327102803738</v>
      </c>
      <c r="Z44" s="78">
        <f t="shared" si="15"/>
        <v>0.6558214573810164</v>
      </c>
      <c r="AA44" s="94">
        <v>4880</v>
      </c>
      <c r="AB44" s="92">
        <v>5066</v>
      </c>
      <c r="AC44" s="26">
        <v>4303</v>
      </c>
      <c r="AD44" s="26">
        <v>3976</v>
      </c>
      <c r="AE44" s="26">
        <v>3605</v>
      </c>
      <c r="AF44" s="26">
        <v>3531</v>
      </c>
      <c r="AG44" s="26">
        <v>3611</v>
      </c>
      <c r="AH44" s="26">
        <v>3910</v>
      </c>
      <c r="AI44" s="26">
        <v>4209</v>
      </c>
      <c r="AJ44" s="26">
        <v>4529</v>
      </c>
      <c r="AK44" s="26">
        <v>4638</v>
      </c>
      <c r="AL44" s="26">
        <v>4408</v>
      </c>
      <c r="AM44" s="26">
        <v>4203</v>
      </c>
      <c r="AN44" s="26">
        <v>3912</v>
      </c>
      <c r="AO44" s="26">
        <v>3761</v>
      </c>
      <c r="AP44" s="26">
        <v>3642</v>
      </c>
      <c r="AQ44" s="26">
        <v>3515</v>
      </c>
      <c r="AR44" s="53">
        <v>3926</v>
      </c>
      <c r="AS44" s="26">
        <v>4094</v>
      </c>
      <c r="AT44" s="26">
        <v>4260</v>
      </c>
      <c r="AU44" s="26">
        <v>4773</v>
      </c>
      <c r="AV44" s="26">
        <v>4740</v>
      </c>
      <c r="AW44" s="26">
        <v>4658</v>
      </c>
      <c r="AX44" s="6">
        <v>4726</v>
      </c>
      <c r="AY44" s="115">
        <v>4878</v>
      </c>
      <c r="AZ44" s="106"/>
      <c r="BA44" s="4">
        <v>7899</v>
      </c>
      <c r="BB44" s="4">
        <v>8801</v>
      </c>
      <c r="BC44" s="4">
        <v>7351</v>
      </c>
      <c r="BD44" s="4">
        <v>6773</v>
      </c>
      <c r="BE44" s="4">
        <v>6137</v>
      </c>
      <c r="BF44" s="4">
        <v>6110</v>
      </c>
      <c r="BG44" s="4">
        <v>6199</v>
      </c>
      <c r="BH44" s="4">
        <v>6602</v>
      </c>
      <c r="BI44" s="4">
        <f>2933+4209</f>
        <v>7142</v>
      </c>
      <c r="BJ44" s="4">
        <f>4529+2940</f>
        <v>7469</v>
      </c>
      <c r="BK44" s="4">
        <f>2926+4638</f>
        <v>7564</v>
      </c>
      <c r="BL44" s="4">
        <f>2690+4408</f>
        <v>7098</v>
      </c>
      <c r="BM44" s="4">
        <f>2593+4203</f>
        <v>6796</v>
      </c>
      <c r="BN44" s="4">
        <f>2592+3912</f>
        <v>6504</v>
      </c>
      <c r="BO44" s="4">
        <f>2514+3761</f>
        <v>6275</v>
      </c>
      <c r="BP44" s="4">
        <f>3642+2430</f>
        <v>6072</v>
      </c>
      <c r="BQ44" s="7">
        <f>3515+2357</f>
        <v>5872</v>
      </c>
      <c r="BR44" s="7">
        <f>3926+2530</f>
        <v>6456</v>
      </c>
      <c r="BS44" s="7">
        <v>6749</v>
      </c>
      <c r="BT44" s="7">
        <v>6930</v>
      </c>
      <c r="BU44" s="101">
        <v>7610</v>
      </c>
      <c r="BV44" s="101">
        <v>7576</v>
      </c>
      <c r="BW44" s="101">
        <v>7197</v>
      </c>
      <c r="BX44" s="101">
        <v>7276</v>
      </c>
      <c r="BY44" s="114">
        <v>7438</v>
      </c>
    </row>
    <row r="45" spans="1:77" ht="12.75" customHeight="1">
      <c r="A45" s="8" t="s">
        <v>53</v>
      </c>
      <c r="B45" s="89">
        <v>0.5800940826937361</v>
      </c>
      <c r="C45" s="85">
        <v>0.5738272332277782</v>
      </c>
      <c r="D45" s="25">
        <v>0.5821013518855246</v>
      </c>
      <c r="E45" s="25">
        <v>0.5807321457754535</v>
      </c>
      <c r="F45" s="25">
        <v>0.5822314049586776</v>
      </c>
      <c r="G45" s="25">
        <v>0.593546385355259</v>
      </c>
      <c r="H45" s="25">
        <v>0.5959353146853147</v>
      </c>
      <c r="I45" s="25">
        <v>0.5863885231131749</v>
      </c>
      <c r="J45" s="25">
        <v>0.5947353989580477</v>
      </c>
      <c r="K45" s="25">
        <v>0.5871393018093765</v>
      </c>
      <c r="L45" s="25">
        <v>0.5988891899214305</v>
      </c>
      <c r="M45" s="25">
        <v>0.5992573550414168</v>
      </c>
      <c r="N45" s="25">
        <v>0.5979877515310587</v>
      </c>
      <c r="O45" s="25">
        <v>0.5905684656725456</v>
      </c>
      <c r="P45" s="25">
        <v>0.5810282856696359</v>
      </c>
      <c r="Q45" s="17">
        <v>0.5747471554993678</v>
      </c>
      <c r="R45" s="17">
        <v>0.5756312436089043</v>
      </c>
      <c r="S45" s="61">
        <v>0.5705766908212561</v>
      </c>
      <c r="T45" s="17">
        <v>0.5865154177983704</v>
      </c>
      <c r="U45" s="17">
        <v>0.5854749512036435</v>
      </c>
      <c r="V45" s="17">
        <f t="shared" si="11"/>
        <v>0.5847545014674387</v>
      </c>
      <c r="W45" s="17">
        <f t="shared" si="12"/>
        <v>0.5854828562441019</v>
      </c>
      <c r="X45" s="17">
        <f t="shared" si="13"/>
        <v>0.5804455445544554</v>
      </c>
      <c r="Y45" s="43">
        <f t="shared" si="14"/>
        <v>0.5797950219619327</v>
      </c>
      <c r="Z45" s="78">
        <f t="shared" si="15"/>
        <v>0.5694865435840911</v>
      </c>
      <c r="AA45" s="94">
        <v>7029</v>
      </c>
      <c r="AB45" s="92">
        <v>7792</v>
      </c>
      <c r="AC45" s="26">
        <v>7363</v>
      </c>
      <c r="AD45" s="26">
        <v>7107</v>
      </c>
      <c r="AE45" s="26">
        <v>7045</v>
      </c>
      <c r="AF45" s="26">
        <v>7652</v>
      </c>
      <c r="AG45" s="26">
        <v>8181</v>
      </c>
      <c r="AH45" s="26">
        <v>8461</v>
      </c>
      <c r="AI45" s="26">
        <v>8676</v>
      </c>
      <c r="AJ45" s="26">
        <v>8729</v>
      </c>
      <c r="AK45" s="26">
        <v>8842</v>
      </c>
      <c r="AL45" s="26">
        <v>8392</v>
      </c>
      <c r="AM45" s="26">
        <v>8202</v>
      </c>
      <c r="AN45" s="26">
        <v>7802</v>
      </c>
      <c r="AO45" s="26">
        <v>7436</v>
      </c>
      <c r="AP45" s="26">
        <v>7274</v>
      </c>
      <c r="AQ45" s="26">
        <v>7318</v>
      </c>
      <c r="AR45" s="53">
        <v>7559</v>
      </c>
      <c r="AS45" s="26">
        <v>7342</v>
      </c>
      <c r="AT45" s="26">
        <v>7199</v>
      </c>
      <c r="AU45" s="26">
        <v>7372</v>
      </c>
      <c r="AV45" s="26">
        <v>7445</v>
      </c>
      <c r="AW45" s="26">
        <v>7035</v>
      </c>
      <c r="AX45" s="6">
        <v>6732</v>
      </c>
      <c r="AY45" s="115">
        <v>6200</v>
      </c>
      <c r="AZ45" s="106"/>
      <c r="BA45" s="4">
        <v>12117</v>
      </c>
      <c r="BB45" s="4">
        <v>13579</v>
      </c>
      <c r="BC45" s="4">
        <v>12649</v>
      </c>
      <c r="BD45" s="4">
        <v>12238</v>
      </c>
      <c r="BE45" s="4">
        <v>12100</v>
      </c>
      <c r="BF45" s="4">
        <v>12892</v>
      </c>
      <c r="BG45" s="4">
        <v>13728</v>
      </c>
      <c r="BH45" s="4">
        <v>14429</v>
      </c>
      <c r="BI45" s="4">
        <f>8676+5912</f>
        <v>14588</v>
      </c>
      <c r="BJ45" s="4">
        <f>8729+6138</f>
        <v>14867</v>
      </c>
      <c r="BK45" s="4">
        <f>5922+8842</f>
        <v>14764</v>
      </c>
      <c r="BL45" s="4">
        <f>8392+5612</f>
        <v>14004</v>
      </c>
      <c r="BM45" s="4">
        <f>5514+8202</f>
        <v>13716</v>
      </c>
      <c r="BN45" s="4">
        <f>5409+7802</f>
        <v>13211</v>
      </c>
      <c r="BO45" s="4">
        <f>7436+5362</f>
        <v>12798</v>
      </c>
      <c r="BP45" s="4">
        <f>7274+5382</f>
        <v>12656</v>
      </c>
      <c r="BQ45" s="7">
        <f>7318+5395</f>
        <v>12713</v>
      </c>
      <c r="BR45" s="7">
        <f>7559+5689</f>
        <v>13248</v>
      </c>
      <c r="BS45" s="7">
        <v>12518</v>
      </c>
      <c r="BT45" s="7">
        <v>12296</v>
      </c>
      <c r="BU45" s="101">
        <v>12607</v>
      </c>
      <c r="BV45" s="101">
        <v>12716</v>
      </c>
      <c r="BW45" s="101">
        <v>12120</v>
      </c>
      <c r="BX45" s="101">
        <v>11611</v>
      </c>
      <c r="BY45" s="114">
        <v>10887</v>
      </c>
    </row>
    <row r="46" spans="1:77" ht="12.75" customHeight="1">
      <c r="A46" s="9" t="s">
        <v>49</v>
      </c>
      <c r="B46" s="89">
        <v>0.5636020151133502</v>
      </c>
      <c r="C46" s="85">
        <v>0.6156558533145275</v>
      </c>
      <c r="D46" s="25">
        <v>0.5777089783281734</v>
      </c>
      <c r="E46" s="25">
        <v>0.6061577934573444</v>
      </c>
      <c r="F46" s="25">
        <v>0.6379310344827587</v>
      </c>
      <c r="G46" s="25">
        <v>0.645899554990464</v>
      </c>
      <c r="H46" s="25">
        <v>0.6622857142857143</v>
      </c>
      <c r="I46" s="25">
        <v>0.6074640287769785</v>
      </c>
      <c r="J46" s="25">
        <v>0.6048965808357957</v>
      </c>
      <c r="K46" s="25">
        <v>0.5629904997934738</v>
      </c>
      <c r="L46" s="25">
        <v>0.6071133167907361</v>
      </c>
      <c r="M46" s="25">
        <v>0.5947686116700202</v>
      </c>
      <c r="N46" s="25">
        <v>0.589765100671141</v>
      </c>
      <c r="O46" s="25">
        <v>0.588054457619675</v>
      </c>
      <c r="P46" s="25">
        <v>0.5693327023189777</v>
      </c>
      <c r="Q46" s="17">
        <v>0.5376635092467298</v>
      </c>
      <c r="R46" s="17">
        <v>0.5539194456474664</v>
      </c>
      <c r="S46" s="61">
        <v>0.5523297491039426</v>
      </c>
      <c r="T46" s="17">
        <v>0.55503585905831</v>
      </c>
      <c r="U46" s="17">
        <v>0.5690014903129658</v>
      </c>
      <c r="V46" s="17">
        <f t="shared" si="11"/>
        <v>0.5711246200607902</v>
      </c>
      <c r="W46" s="17">
        <f t="shared" si="12"/>
        <v>0.5827189619581244</v>
      </c>
      <c r="X46" s="17">
        <f t="shared" si="13"/>
        <v>0.5976485956890921</v>
      </c>
      <c r="Y46" s="43">
        <f t="shared" si="14"/>
        <v>0.5949931412894376</v>
      </c>
      <c r="Z46" s="78">
        <f t="shared" si="15"/>
        <v>0.623608017817372</v>
      </c>
      <c r="AA46" s="94">
        <v>895</v>
      </c>
      <c r="AB46" s="92">
        <v>873</v>
      </c>
      <c r="AC46" s="26">
        <v>933</v>
      </c>
      <c r="AD46" s="26">
        <v>945</v>
      </c>
      <c r="AE46" s="26">
        <v>962</v>
      </c>
      <c r="AF46" s="26">
        <v>1016</v>
      </c>
      <c r="AG46" s="26">
        <v>1159</v>
      </c>
      <c r="AH46" s="26">
        <v>1351</v>
      </c>
      <c r="AI46" s="26">
        <v>1433</v>
      </c>
      <c r="AJ46" s="26">
        <v>1363</v>
      </c>
      <c r="AK46" s="26">
        <v>1468</v>
      </c>
      <c r="AL46" s="26">
        <v>1478</v>
      </c>
      <c r="AM46" s="26">
        <v>1406</v>
      </c>
      <c r="AN46" s="26">
        <v>1339</v>
      </c>
      <c r="AO46" s="26">
        <v>1203</v>
      </c>
      <c r="AP46" s="26">
        <v>1192</v>
      </c>
      <c r="AQ46" s="26">
        <v>1279</v>
      </c>
      <c r="AR46" s="53">
        <v>1541</v>
      </c>
      <c r="AS46" s="26">
        <v>1780</v>
      </c>
      <c r="AT46" s="26">
        <v>1909</v>
      </c>
      <c r="AU46" s="26">
        <v>1879</v>
      </c>
      <c r="AV46" s="26">
        <v>1976</v>
      </c>
      <c r="AW46" s="26">
        <v>1830</v>
      </c>
      <c r="AX46" s="6">
        <v>1735</v>
      </c>
      <c r="AY46" s="115">
        <v>1960</v>
      </c>
      <c r="AZ46" s="106"/>
      <c r="BA46" s="4">
        <v>1588</v>
      </c>
      <c r="BB46" s="4">
        <v>1418</v>
      </c>
      <c r="BC46" s="4">
        <v>1615</v>
      </c>
      <c r="BD46" s="4">
        <v>1559</v>
      </c>
      <c r="BE46" s="4">
        <v>1508</v>
      </c>
      <c r="BF46" s="4">
        <v>1573</v>
      </c>
      <c r="BG46" s="4">
        <v>1750</v>
      </c>
      <c r="BH46" s="4">
        <v>2224</v>
      </c>
      <c r="BI46" s="4">
        <f>936+1433</f>
        <v>2369</v>
      </c>
      <c r="BJ46" s="4">
        <f>1058+1363</f>
        <v>2421</v>
      </c>
      <c r="BK46" s="4">
        <f>950+1468</f>
        <v>2418</v>
      </c>
      <c r="BL46" s="4">
        <f>1007+1478</f>
        <v>2485</v>
      </c>
      <c r="BM46" s="4">
        <f>978+1406</f>
        <v>2384</v>
      </c>
      <c r="BN46" s="4">
        <f>1339+938</f>
        <v>2277</v>
      </c>
      <c r="BO46" s="4">
        <f>1203+910</f>
        <v>2113</v>
      </c>
      <c r="BP46" s="4">
        <f>1025+1192</f>
        <v>2217</v>
      </c>
      <c r="BQ46" s="7">
        <f>1279+1030</f>
        <v>2309</v>
      </c>
      <c r="BR46" s="7">
        <f>1541+1249</f>
        <v>2790</v>
      </c>
      <c r="BS46" s="7">
        <v>3207</v>
      </c>
      <c r="BT46" s="7">
        <v>3355</v>
      </c>
      <c r="BU46" s="101">
        <v>3290</v>
      </c>
      <c r="BV46" s="101">
        <v>3391</v>
      </c>
      <c r="BW46" s="101">
        <v>3062</v>
      </c>
      <c r="BX46" s="101">
        <v>2916</v>
      </c>
      <c r="BY46" s="114">
        <v>3143</v>
      </c>
    </row>
    <row r="47" spans="1:77" ht="12.75" customHeight="1">
      <c r="A47" s="9" t="s">
        <v>54</v>
      </c>
      <c r="B47" s="89">
        <v>0.6111547525530243</v>
      </c>
      <c r="C47" s="85">
        <v>0.6746909564085881</v>
      </c>
      <c r="D47" s="25">
        <v>0.6572734196496572</v>
      </c>
      <c r="E47" s="25">
        <v>0.6409417920209287</v>
      </c>
      <c r="F47" s="25">
        <v>0.6325193567599762</v>
      </c>
      <c r="G47" s="25">
        <v>0.6875387476751394</v>
      </c>
      <c r="H47" s="25">
        <v>0.6841216216216216</v>
      </c>
      <c r="I47" s="25">
        <v>0.6920289855072463</v>
      </c>
      <c r="J47" s="25">
        <v>0.6896217264791464</v>
      </c>
      <c r="K47" s="25">
        <v>0.6712328767123288</v>
      </c>
      <c r="L47" s="25">
        <v>0.6676033721397029</v>
      </c>
      <c r="M47" s="25">
        <v>0.6485849056603774</v>
      </c>
      <c r="N47" s="25">
        <v>0.6498960498960499</v>
      </c>
      <c r="O47" s="25">
        <v>0.6584201388888888</v>
      </c>
      <c r="P47" s="25">
        <v>0.6594295444870157</v>
      </c>
      <c r="Q47" s="43">
        <v>0.650497512437811</v>
      </c>
      <c r="R47" s="17">
        <v>0.6591792656587473</v>
      </c>
      <c r="S47" s="61">
        <v>0.6517996870109546</v>
      </c>
      <c r="T47" s="17">
        <v>0.6762589928057554</v>
      </c>
      <c r="U47" s="17">
        <v>0.6671408250355618</v>
      </c>
      <c r="V47" s="17">
        <f t="shared" si="11"/>
        <v>0.6671363156040859</v>
      </c>
      <c r="W47" s="17">
        <f t="shared" si="12"/>
        <v>0.6890756302521008</v>
      </c>
      <c r="X47" s="17">
        <f t="shared" si="13"/>
        <v>0.6807210510235259</v>
      </c>
      <c r="Y47" s="43">
        <f t="shared" si="14"/>
        <v>0.6643952299829642</v>
      </c>
      <c r="Z47" s="78">
        <f t="shared" si="15"/>
        <v>0.6862483311081442</v>
      </c>
      <c r="AA47" s="94">
        <v>778</v>
      </c>
      <c r="AB47" s="92">
        <v>1037</v>
      </c>
      <c r="AC47" s="26">
        <v>863</v>
      </c>
      <c r="AD47" s="26">
        <v>980</v>
      </c>
      <c r="AE47" s="26">
        <v>1062</v>
      </c>
      <c r="AF47" s="26">
        <v>1109</v>
      </c>
      <c r="AG47" s="26">
        <v>1215</v>
      </c>
      <c r="AH47" s="26">
        <v>1337</v>
      </c>
      <c r="AI47" s="26">
        <v>1422</v>
      </c>
      <c r="AJ47" s="26">
        <v>1568</v>
      </c>
      <c r="AK47" s="26">
        <v>1663</v>
      </c>
      <c r="AL47" s="26">
        <v>1650</v>
      </c>
      <c r="AM47" s="26">
        <v>1563</v>
      </c>
      <c r="AN47" s="26">
        <v>1517</v>
      </c>
      <c r="AO47" s="26">
        <v>1549</v>
      </c>
      <c r="AP47" s="26">
        <v>1569</v>
      </c>
      <c r="AQ47" s="26">
        <v>1526</v>
      </c>
      <c r="AR47" s="53">
        <v>1666</v>
      </c>
      <c r="AS47" s="26">
        <v>1786</v>
      </c>
      <c r="AT47" s="26">
        <v>1876</v>
      </c>
      <c r="AU47" s="26">
        <v>1894</v>
      </c>
      <c r="AV47" s="26">
        <v>2214</v>
      </c>
      <c r="AW47" s="26">
        <v>2228</v>
      </c>
      <c r="AX47" s="6">
        <v>1950</v>
      </c>
      <c r="AY47" s="115">
        <v>2056</v>
      </c>
      <c r="AZ47" s="106"/>
      <c r="BA47" s="4">
        <v>1273</v>
      </c>
      <c r="BB47" s="4">
        <v>1537</v>
      </c>
      <c r="BC47" s="4">
        <v>1313</v>
      </c>
      <c r="BD47" s="4">
        <v>1529</v>
      </c>
      <c r="BE47" s="4">
        <v>1679</v>
      </c>
      <c r="BF47" s="4">
        <v>1613</v>
      </c>
      <c r="BG47" s="4">
        <v>1776</v>
      </c>
      <c r="BH47" s="4">
        <v>1932</v>
      </c>
      <c r="BI47" s="4">
        <f>640+1422</f>
        <v>2062</v>
      </c>
      <c r="BJ47" s="4">
        <f>1568+768</f>
        <v>2336</v>
      </c>
      <c r="BK47" s="4">
        <f>828+1663</f>
        <v>2491</v>
      </c>
      <c r="BL47" s="4">
        <f>1650+894</f>
        <v>2544</v>
      </c>
      <c r="BM47" s="4">
        <f>1563+842</f>
        <v>2405</v>
      </c>
      <c r="BN47" s="4">
        <f>1517+787</f>
        <v>2304</v>
      </c>
      <c r="BO47" s="4">
        <f>1549+800</f>
        <v>2349</v>
      </c>
      <c r="BP47" s="4">
        <f>843+1569</f>
        <v>2412</v>
      </c>
      <c r="BQ47" s="7">
        <f>1526+789</f>
        <v>2315</v>
      </c>
      <c r="BR47" s="7">
        <f>1666+890</f>
        <v>2556</v>
      </c>
      <c r="BS47" s="7">
        <v>2641</v>
      </c>
      <c r="BT47" s="7">
        <v>2812</v>
      </c>
      <c r="BU47" s="101">
        <v>2839</v>
      </c>
      <c r="BV47" s="101">
        <v>3213</v>
      </c>
      <c r="BW47" s="101">
        <v>3273</v>
      </c>
      <c r="BX47" s="101">
        <v>2935</v>
      </c>
      <c r="BY47" s="114">
        <v>2996</v>
      </c>
    </row>
    <row r="48" spans="1:77" ht="12.75" customHeight="1">
      <c r="A48" s="8" t="s">
        <v>36</v>
      </c>
      <c r="B48" s="89">
        <v>0.5751587617449084</v>
      </c>
      <c r="C48" s="85">
        <v>0.5729345042653134</v>
      </c>
      <c r="D48" s="25">
        <v>0.5785024359605493</v>
      </c>
      <c r="E48" s="25">
        <v>0.5851551541277499</v>
      </c>
      <c r="F48" s="25">
        <v>0.5901021049591411</v>
      </c>
      <c r="G48" s="25">
        <v>0.6008006769951829</v>
      </c>
      <c r="H48" s="25">
        <v>0.6021992536052708</v>
      </c>
      <c r="I48" s="25">
        <v>0.6002637226983882</v>
      </c>
      <c r="J48" s="25">
        <v>0.6062732205383156</v>
      </c>
      <c r="K48" s="25">
        <v>0.605534031480558</v>
      </c>
      <c r="L48" s="25">
        <v>0.612615426907746</v>
      </c>
      <c r="M48" s="25">
        <v>0.610157294129742</v>
      </c>
      <c r="N48" s="25">
        <v>0.6159494214609789</v>
      </c>
      <c r="O48" s="25">
        <v>0.6162336041707107</v>
      </c>
      <c r="P48" s="25">
        <v>0.605398422253374</v>
      </c>
      <c r="Q48" s="43">
        <v>0.598342929743465</v>
      </c>
      <c r="R48" s="17">
        <v>0.5945871087722074</v>
      </c>
      <c r="S48" s="61">
        <v>0.5937551543448748</v>
      </c>
      <c r="T48" s="17">
        <v>0.599447201457378</v>
      </c>
      <c r="U48" s="17">
        <v>0.5983522514806818</v>
      </c>
      <c r="V48" s="17">
        <f t="shared" si="11"/>
        <v>0.60272165521072</v>
      </c>
      <c r="W48" s="17">
        <f t="shared" si="12"/>
        <v>0.6093132213461319</v>
      </c>
      <c r="X48" s="17">
        <f t="shared" si="13"/>
        <v>0.6101158381744182</v>
      </c>
      <c r="Y48" s="43">
        <f t="shared" si="14"/>
        <v>0.6072951972516197</v>
      </c>
      <c r="Z48" s="78">
        <f t="shared" si="15"/>
        <v>0.6071817444688984</v>
      </c>
      <c r="AA48" s="95">
        <f aca="true" t="shared" si="16" ref="AA48:BX48">SUM(AA27:AA47)</f>
        <v>33239</v>
      </c>
      <c r="AB48" s="73">
        <f t="shared" si="16"/>
        <v>36469</v>
      </c>
      <c r="AC48" s="36">
        <f t="shared" si="16"/>
        <v>34079</v>
      </c>
      <c r="AD48" s="36">
        <f t="shared" si="16"/>
        <v>34207</v>
      </c>
      <c r="AE48" s="36">
        <f t="shared" si="16"/>
        <v>34734</v>
      </c>
      <c r="AF48" s="36">
        <f t="shared" si="16"/>
        <v>36918</v>
      </c>
      <c r="AG48" s="36">
        <f t="shared" si="16"/>
        <v>39211</v>
      </c>
      <c r="AH48" s="36">
        <f t="shared" si="16"/>
        <v>42791</v>
      </c>
      <c r="AI48" s="36">
        <f t="shared" si="16"/>
        <v>45365</v>
      </c>
      <c r="AJ48" s="36">
        <f t="shared" si="16"/>
        <v>47357</v>
      </c>
      <c r="AK48" s="36">
        <f t="shared" si="16"/>
        <v>49027</v>
      </c>
      <c r="AL48" s="36">
        <f t="shared" si="16"/>
        <v>47480</v>
      </c>
      <c r="AM48" s="36">
        <f t="shared" si="16"/>
        <v>45887</v>
      </c>
      <c r="AN48" s="36">
        <f t="shared" si="16"/>
        <v>44444</v>
      </c>
      <c r="AO48" s="36">
        <f t="shared" si="16"/>
        <v>44050</v>
      </c>
      <c r="AP48" s="36">
        <f t="shared" si="16"/>
        <v>44269</v>
      </c>
      <c r="AQ48" s="36">
        <f t="shared" si="16"/>
        <v>45081</v>
      </c>
      <c r="AR48" s="56">
        <f t="shared" si="16"/>
        <v>46798</v>
      </c>
      <c r="AS48" s="36">
        <f t="shared" si="16"/>
        <v>47713</v>
      </c>
      <c r="AT48" s="36">
        <f t="shared" si="16"/>
        <v>49604</v>
      </c>
      <c r="AU48" s="36">
        <f t="shared" si="16"/>
        <v>52086</v>
      </c>
      <c r="AV48" s="36">
        <f t="shared" si="16"/>
        <v>53321</v>
      </c>
      <c r="AW48" s="36">
        <f t="shared" si="16"/>
        <v>52617</v>
      </c>
      <c r="AX48" s="36">
        <f>SUM(AX27:AX47)</f>
        <v>52678</v>
      </c>
      <c r="AY48" s="36">
        <f>SUM(AY27:AY47)</f>
        <v>52418</v>
      </c>
      <c r="AZ48" s="73"/>
      <c r="BA48" s="36">
        <f t="shared" si="16"/>
        <v>57394</v>
      </c>
      <c r="BB48" s="36">
        <f t="shared" si="16"/>
        <v>63243</v>
      </c>
      <c r="BC48" s="36">
        <f t="shared" si="16"/>
        <v>58590</v>
      </c>
      <c r="BD48" s="36">
        <f t="shared" si="16"/>
        <v>57940</v>
      </c>
      <c r="BE48" s="36">
        <f t="shared" si="16"/>
        <v>58260</v>
      </c>
      <c r="BF48" s="36">
        <f t="shared" si="16"/>
        <v>61448</v>
      </c>
      <c r="BG48" s="36">
        <f t="shared" si="16"/>
        <v>65113</v>
      </c>
      <c r="BH48" s="36">
        <f t="shared" si="16"/>
        <v>71287</v>
      </c>
      <c r="BI48" s="36">
        <f t="shared" si="16"/>
        <v>74826</v>
      </c>
      <c r="BJ48" s="36">
        <f t="shared" si="16"/>
        <v>78207</v>
      </c>
      <c r="BK48" s="36">
        <f t="shared" si="16"/>
        <v>80029</v>
      </c>
      <c r="BL48" s="36">
        <f t="shared" si="16"/>
        <v>77816</v>
      </c>
      <c r="BM48" s="36">
        <f t="shared" si="16"/>
        <v>74498</v>
      </c>
      <c r="BN48" s="36">
        <f t="shared" si="16"/>
        <v>72122</v>
      </c>
      <c r="BO48" s="36">
        <f t="shared" si="16"/>
        <v>72762</v>
      </c>
      <c r="BP48" s="36">
        <f t="shared" si="16"/>
        <v>73986</v>
      </c>
      <c r="BQ48" s="36">
        <f t="shared" si="16"/>
        <v>75819</v>
      </c>
      <c r="BR48" s="36">
        <f t="shared" si="16"/>
        <v>78817</v>
      </c>
      <c r="BS48" s="36">
        <f t="shared" si="16"/>
        <v>79595</v>
      </c>
      <c r="BT48" s="36">
        <f t="shared" si="16"/>
        <v>82901</v>
      </c>
      <c r="BU48" s="73">
        <f t="shared" si="16"/>
        <v>86418</v>
      </c>
      <c r="BV48" s="73">
        <f t="shared" si="16"/>
        <v>87510</v>
      </c>
      <c r="BW48" s="73">
        <f t="shared" si="16"/>
        <v>86241</v>
      </c>
      <c r="BX48" s="73">
        <f t="shared" si="16"/>
        <v>86742</v>
      </c>
      <c r="BY48" s="73">
        <f>SUM(BY27:BY47)</f>
        <v>86330</v>
      </c>
    </row>
    <row r="49" spans="1:76" ht="12.75" customHeight="1">
      <c r="A49" s="24"/>
      <c r="B49" s="89"/>
      <c r="C49" s="8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43"/>
      <c r="R49" s="17"/>
      <c r="S49" s="61"/>
      <c r="T49" s="17"/>
      <c r="U49" s="17"/>
      <c r="V49" s="17"/>
      <c r="W49" s="17"/>
      <c r="X49" s="17"/>
      <c r="Y49" s="43"/>
      <c r="Z49" s="78"/>
      <c r="AA49" s="94"/>
      <c r="AB49" s="92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53"/>
      <c r="AS49" s="26"/>
      <c r="AT49" s="26"/>
      <c r="AU49" s="26"/>
      <c r="AV49" s="26"/>
      <c r="AW49" s="26"/>
      <c r="AX49" s="26"/>
      <c r="AY49" s="26"/>
      <c r="AZ49" s="92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92"/>
      <c r="BV49" s="92"/>
      <c r="BW49" s="92"/>
      <c r="BX49" s="92"/>
    </row>
    <row r="50" spans="1:77" ht="12.75" customHeight="1" thickBot="1">
      <c r="A50" s="45" t="s">
        <v>55</v>
      </c>
      <c r="B50" s="91">
        <v>0.520328212007841</v>
      </c>
      <c r="C50" s="46">
        <v>0.5219026111503176</v>
      </c>
      <c r="D50" s="46">
        <v>0.5271135517782704</v>
      </c>
      <c r="E50" s="46">
        <v>0.5354439376887994</v>
      </c>
      <c r="F50" s="46">
        <v>0.5434831341364135</v>
      </c>
      <c r="G50" s="46">
        <v>0.5519355787700667</v>
      </c>
      <c r="H50" s="46">
        <v>0.5553780559013739</v>
      </c>
      <c r="I50" s="46">
        <v>0.558678854813382</v>
      </c>
      <c r="J50" s="46">
        <v>0.5641949459566153</v>
      </c>
      <c r="K50" s="46">
        <v>0.563647574677994</v>
      </c>
      <c r="L50" s="46">
        <v>0.5670846348576589</v>
      </c>
      <c r="M50" s="46">
        <v>0.5664435800826673</v>
      </c>
      <c r="N50" s="46">
        <v>0.5730249818877404</v>
      </c>
      <c r="O50" s="46">
        <v>0.5762949161284889</v>
      </c>
      <c r="P50" s="46">
        <v>0.5762209565519492</v>
      </c>
      <c r="Q50" s="47">
        <v>0.5747695665175035</v>
      </c>
      <c r="R50" s="47">
        <v>0.5739064701586942</v>
      </c>
      <c r="S50" s="62">
        <v>0.5745971383275471</v>
      </c>
      <c r="T50" s="47">
        <v>0.576546053446269</v>
      </c>
      <c r="U50" s="47">
        <v>0.5759073911928754</v>
      </c>
      <c r="V50" s="47">
        <f>+AU50/BU50</f>
        <v>0.5798963662905942</v>
      </c>
      <c r="W50" s="70">
        <f>+AV50/BV50</f>
        <v>0.5823737247611384</v>
      </c>
      <c r="X50" s="47">
        <f>+AW50/BW50</f>
        <v>0.5825662632071998</v>
      </c>
      <c r="Y50" s="47">
        <f>+AX50/BX50</f>
        <v>0.5808324376957772</v>
      </c>
      <c r="Z50" s="47">
        <f>SUM(AY50/BY50)</f>
        <v>0.5800434832360682</v>
      </c>
      <c r="AA50" s="96">
        <f aca="true" t="shared" si="17" ref="AA50:BG50">SUM(AA23+AA48)</f>
        <v>89984</v>
      </c>
      <c r="AB50" s="48">
        <f t="shared" si="17"/>
        <v>92442</v>
      </c>
      <c r="AC50" s="48">
        <f t="shared" si="17"/>
        <v>89652</v>
      </c>
      <c r="AD50" s="48">
        <f t="shared" si="17"/>
        <v>90399</v>
      </c>
      <c r="AE50" s="48">
        <f t="shared" si="17"/>
        <v>92128</v>
      </c>
      <c r="AF50" s="48">
        <f t="shared" si="17"/>
        <v>95683</v>
      </c>
      <c r="AG50" s="48">
        <f t="shared" si="17"/>
        <v>100820</v>
      </c>
      <c r="AH50" s="48">
        <f t="shared" si="17"/>
        <v>107444</v>
      </c>
      <c r="AI50" s="48">
        <f t="shared" si="17"/>
        <v>112905</v>
      </c>
      <c r="AJ50" s="48">
        <f t="shared" si="17"/>
        <v>115178</v>
      </c>
      <c r="AK50" s="48">
        <f t="shared" si="17"/>
        <v>114918</v>
      </c>
      <c r="AL50" s="48">
        <f t="shared" si="17"/>
        <v>111552</v>
      </c>
      <c r="AM50" s="48">
        <f t="shared" si="17"/>
        <v>109940</v>
      </c>
      <c r="AN50" s="48">
        <f t="shared" si="17"/>
        <v>109492</v>
      </c>
      <c r="AO50" s="48">
        <f t="shared" si="17"/>
        <v>109467</v>
      </c>
      <c r="AP50" s="48">
        <f t="shared" si="17"/>
        <v>109562</v>
      </c>
      <c r="AQ50" s="48">
        <f t="shared" si="17"/>
        <v>111603</v>
      </c>
      <c r="AR50" s="57">
        <f t="shared" si="17"/>
        <v>114531</v>
      </c>
      <c r="AS50" s="48">
        <f t="shared" si="17"/>
        <v>116396</v>
      </c>
      <c r="AT50" s="48">
        <f t="shared" si="17"/>
        <v>119051</v>
      </c>
      <c r="AU50" s="48">
        <f t="shared" si="17"/>
        <v>124335</v>
      </c>
      <c r="AV50" s="48">
        <f t="shared" si="17"/>
        <v>125929</v>
      </c>
      <c r="AW50" s="48">
        <f t="shared" si="17"/>
        <v>124996</v>
      </c>
      <c r="AX50" s="48">
        <f>SUM(AX23+AX48)</f>
        <v>126460</v>
      </c>
      <c r="AY50" s="48">
        <f>SUM(AY23+AY48)</f>
        <v>126725</v>
      </c>
      <c r="AZ50" s="92"/>
      <c r="BA50" s="48">
        <f t="shared" si="17"/>
        <v>172540</v>
      </c>
      <c r="BB50" s="48">
        <f t="shared" si="17"/>
        <v>176715</v>
      </c>
      <c r="BC50" s="48">
        <f t="shared" si="17"/>
        <v>169762</v>
      </c>
      <c r="BD50" s="48">
        <f t="shared" si="17"/>
        <v>168312</v>
      </c>
      <c r="BE50" s="48">
        <f t="shared" si="17"/>
        <v>168913</v>
      </c>
      <c r="BF50" s="48">
        <f t="shared" si="17"/>
        <v>173359</v>
      </c>
      <c r="BG50" s="48">
        <f t="shared" si="17"/>
        <v>181534</v>
      </c>
      <c r="BH50" s="48">
        <f aca="true" t="shared" si="18" ref="BH50:BX50">SUM(BH23+BH48)</f>
        <v>192318</v>
      </c>
      <c r="BI50" s="48">
        <f t="shared" si="18"/>
        <v>200117</v>
      </c>
      <c r="BJ50" s="48">
        <f t="shared" si="18"/>
        <v>204344</v>
      </c>
      <c r="BK50" s="48">
        <f t="shared" si="18"/>
        <v>202647</v>
      </c>
      <c r="BL50" s="48">
        <f t="shared" si="18"/>
        <v>196934</v>
      </c>
      <c r="BM50" s="48">
        <f t="shared" si="18"/>
        <v>191859</v>
      </c>
      <c r="BN50" s="48">
        <f t="shared" si="18"/>
        <v>189993</v>
      </c>
      <c r="BO50" s="48">
        <f t="shared" si="18"/>
        <v>189974</v>
      </c>
      <c r="BP50" s="48">
        <f t="shared" si="18"/>
        <v>190619</v>
      </c>
      <c r="BQ50" s="48">
        <f t="shared" si="18"/>
        <v>194462</v>
      </c>
      <c r="BR50" s="48">
        <f t="shared" si="18"/>
        <v>199324</v>
      </c>
      <c r="BS50" s="48">
        <f t="shared" si="18"/>
        <v>201885</v>
      </c>
      <c r="BT50" s="48">
        <f t="shared" si="18"/>
        <v>206719</v>
      </c>
      <c r="BU50" s="92">
        <f t="shared" si="18"/>
        <v>214409</v>
      </c>
      <c r="BV50" s="92">
        <f t="shared" si="18"/>
        <v>216234</v>
      </c>
      <c r="BW50" s="92">
        <f t="shared" si="18"/>
        <v>214561</v>
      </c>
      <c r="BX50" s="92">
        <f t="shared" si="18"/>
        <v>217722</v>
      </c>
      <c r="BY50" s="6">
        <f>SUM(BY48,BY23)</f>
        <v>218475</v>
      </c>
    </row>
    <row r="51" spans="1:68" ht="12.75" customHeight="1" thickTop="1">
      <c r="A51" s="9" t="s">
        <v>56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85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</row>
    <row r="52" spans="1:68" ht="12.75" customHeight="1">
      <c r="A52" s="8" t="s">
        <v>57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85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</row>
    <row r="53" spans="1:68" ht="12.75" customHeight="1">
      <c r="A53" s="9" t="s">
        <v>58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85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</row>
    <row r="54" spans="1:49" ht="12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5"/>
      <c r="L54" s="24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85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</row>
    <row r="55" spans="1:49" ht="12.75" customHeight="1">
      <c r="A55" s="8" t="s">
        <v>100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85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</row>
    <row r="56" spans="1:49" ht="12.75" customHeight="1">
      <c r="A56" s="8" t="s">
        <v>59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85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</row>
    <row r="57" spans="1:49" ht="12.75" customHeight="1">
      <c r="A57" s="42" t="s">
        <v>112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85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</row>
    <row r="58" spans="1:74" ht="12.75" customHeight="1" thickBo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43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52"/>
      <c r="BV58" s="52"/>
    </row>
    <row r="59" spans="1:74" ht="12.75" customHeight="1" thickTop="1">
      <c r="A59" s="16"/>
      <c r="B59" s="35" t="s">
        <v>0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08"/>
      <c r="AA59" s="125" t="s">
        <v>1</v>
      </c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05"/>
      <c r="BA59" s="49" t="s">
        <v>60</v>
      </c>
      <c r="BB59" s="49" t="s">
        <v>60</v>
      </c>
      <c r="BC59" s="49" t="s">
        <v>60</v>
      </c>
      <c r="BD59" s="49" t="s">
        <v>60</v>
      </c>
      <c r="BE59" s="49" t="s">
        <v>60</v>
      </c>
      <c r="BF59" s="49" t="s">
        <v>60</v>
      </c>
      <c r="BG59" s="49" t="s">
        <v>60</v>
      </c>
      <c r="BH59" s="49" t="s">
        <v>60</v>
      </c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102"/>
      <c r="BV59" s="105"/>
    </row>
    <row r="60" spans="1:74" ht="12.75" customHeight="1">
      <c r="A60" s="24"/>
      <c r="B60" s="86" t="s">
        <v>3</v>
      </c>
      <c r="C60" s="82" t="s">
        <v>3</v>
      </c>
      <c r="D60" s="39" t="s">
        <v>3</v>
      </c>
      <c r="E60" s="39" t="s">
        <v>3</v>
      </c>
      <c r="F60" s="39" t="s">
        <v>3</v>
      </c>
      <c r="G60" s="39" t="s">
        <v>3</v>
      </c>
      <c r="H60" s="39" t="s">
        <v>3</v>
      </c>
      <c r="I60" s="39" t="s">
        <v>3</v>
      </c>
      <c r="J60" s="39" t="s">
        <v>3</v>
      </c>
      <c r="K60" s="39" t="s">
        <v>3</v>
      </c>
      <c r="L60" s="39" t="s">
        <v>3</v>
      </c>
      <c r="M60" s="39" t="s">
        <v>3</v>
      </c>
      <c r="N60" s="39" t="s">
        <v>3</v>
      </c>
      <c r="O60" s="39" t="s">
        <v>3</v>
      </c>
      <c r="P60" s="39" t="s">
        <v>3</v>
      </c>
      <c r="Q60" s="34" t="s">
        <v>3</v>
      </c>
      <c r="R60" s="34" t="s">
        <v>3</v>
      </c>
      <c r="S60" s="58" t="s">
        <v>3</v>
      </c>
      <c r="T60" s="33" t="s">
        <v>3</v>
      </c>
      <c r="U60" s="33" t="s">
        <v>3</v>
      </c>
      <c r="V60" s="33" t="s">
        <v>3</v>
      </c>
      <c r="W60" s="33" t="s">
        <v>3</v>
      </c>
      <c r="X60" s="33" t="s">
        <v>3</v>
      </c>
      <c r="Y60" s="33" t="s">
        <v>3</v>
      </c>
      <c r="Z60" s="109" t="s">
        <v>3</v>
      </c>
      <c r="AA60" s="119" t="s">
        <v>3</v>
      </c>
      <c r="AB60" s="120" t="s">
        <v>3</v>
      </c>
      <c r="AC60" s="121" t="s">
        <v>3</v>
      </c>
      <c r="AD60" s="121" t="s">
        <v>3</v>
      </c>
      <c r="AE60" s="121" t="s">
        <v>3</v>
      </c>
      <c r="AF60" s="121" t="s">
        <v>3</v>
      </c>
      <c r="AG60" s="121" t="s">
        <v>3</v>
      </c>
      <c r="AH60" s="121" t="s">
        <v>3</v>
      </c>
      <c r="AI60" s="121" t="s">
        <v>3</v>
      </c>
      <c r="AJ60" s="121" t="s">
        <v>3</v>
      </c>
      <c r="AK60" s="121" t="s">
        <v>3</v>
      </c>
      <c r="AL60" s="121" t="s">
        <v>3</v>
      </c>
      <c r="AM60" s="121" t="s">
        <v>3</v>
      </c>
      <c r="AN60" s="121" t="s">
        <v>3</v>
      </c>
      <c r="AO60" s="121" t="s">
        <v>3</v>
      </c>
      <c r="AP60" s="121" t="s">
        <v>3</v>
      </c>
      <c r="AQ60" s="121" t="s">
        <v>3</v>
      </c>
      <c r="AR60" s="122" t="s">
        <v>3</v>
      </c>
      <c r="AS60" s="121" t="s">
        <v>3</v>
      </c>
      <c r="AT60" s="121" t="s">
        <v>3</v>
      </c>
      <c r="AU60" s="121" t="s">
        <v>3</v>
      </c>
      <c r="AV60" s="121" t="s">
        <v>3</v>
      </c>
      <c r="AW60" s="121" t="s">
        <v>3</v>
      </c>
      <c r="AX60" s="121" t="s">
        <v>3</v>
      </c>
      <c r="AY60" s="121" t="s">
        <v>3</v>
      </c>
      <c r="AZ60" s="68"/>
      <c r="BD60" s="1" t="s">
        <v>61</v>
      </c>
      <c r="BK60" s="19" t="s">
        <v>3</v>
      </c>
      <c r="BL60" s="19" t="s">
        <v>3</v>
      </c>
      <c r="BM60" s="19" t="s">
        <v>3</v>
      </c>
      <c r="BN60" s="19" t="s">
        <v>3</v>
      </c>
      <c r="BO60" s="19" t="s">
        <v>3</v>
      </c>
      <c r="BV60" s="68" t="s">
        <v>3</v>
      </c>
    </row>
    <row r="61" spans="1:74" ht="12.75" customHeight="1">
      <c r="A61" s="24"/>
      <c r="B61" s="128" t="s">
        <v>5</v>
      </c>
      <c r="C61" s="129" t="s">
        <v>6</v>
      </c>
      <c r="D61" s="130" t="s">
        <v>7</v>
      </c>
      <c r="E61" s="130" t="s">
        <v>8</v>
      </c>
      <c r="F61" s="130" t="s">
        <v>9</v>
      </c>
      <c r="G61" s="130" t="s">
        <v>10</v>
      </c>
      <c r="H61" s="130" t="s">
        <v>11</v>
      </c>
      <c r="I61" s="130" t="s">
        <v>12</v>
      </c>
      <c r="J61" s="130" t="s">
        <v>13</v>
      </c>
      <c r="K61" s="130" t="s">
        <v>14</v>
      </c>
      <c r="L61" s="130" t="s">
        <v>15</v>
      </c>
      <c r="M61" s="130" t="s">
        <v>16</v>
      </c>
      <c r="N61" s="130" t="s">
        <v>17</v>
      </c>
      <c r="O61" s="130" t="s">
        <v>18</v>
      </c>
      <c r="P61" s="130" t="s">
        <v>19</v>
      </c>
      <c r="Q61" s="130" t="s">
        <v>20</v>
      </c>
      <c r="R61" s="130" t="s">
        <v>21</v>
      </c>
      <c r="S61" s="131" t="s">
        <v>22</v>
      </c>
      <c r="T61" s="130">
        <v>2000</v>
      </c>
      <c r="U61" s="130">
        <v>2001</v>
      </c>
      <c r="V61" s="130">
        <v>2002</v>
      </c>
      <c r="W61" s="130">
        <v>2003</v>
      </c>
      <c r="X61" s="130">
        <v>2004</v>
      </c>
      <c r="Y61" s="130">
        <v>2005</v>
      </c>
      <c r="Z61" s="129">
        <v>2006</v>
      </c>
      <c r="AA61" s="133" t="s">
        <v>5</v>
      </c>
      <c r="AB61" s="129" t="s">
        <v>6</v>
      </c>
      <c r="AC61" s="130" t="s">
        <v>7</v>
      </c>
      <c r="AD61" s="130" t="s">
        <v>8</v>
      </c>
      <c r="AE61" s="130" t="s">
        <v>9</v>
      </c>
      <c r="AF61" s="130" t="s">
        <v>10</v>
      </c>
      <c r="AG61" s="130" t="s">
        <v>11</v>
      </c>
      <c r="AH61" s="130" t="s">
        <v>12</v>
      </c>
      <c r="AI61" s="130" t="s">
        <v>13</v>
      </c>
      <c r="AJ61" s="130" t="s">
        <v>14</v>
      </c>
      <c r="AK61" s="130" t="s">
        <v>15</v>
      </c>
      <c r="AL61" s="130" t="s">
        <v>16</v>
      </c>
      <c r="AM61" s="130" t="s">
        <v>17</v>
      </c>
      <c r="AN61" s="130" t="s">
        <v>18</v>
      </c>
      <c r="AO61" s="130" t="s">
        <v>19</v>
      </c>
      <c r="AP61" s="130" t="s">
        <v>20</v>
      </c>
      <c r="AQ61" s="130" t="s">
        <v>21</v>
      </c>
      <c r="AR61" s="131" t="s">
        <v>22</v>
      </c>
      <c r="AS61" s="130">
        <v>2000</v>
      </c>
      <c r="AT61" s="130">
        <v>2001</v>
      </c>
      <c r="AU61" s="130">
        <v>2002</v>
      </c>
      <c r="AV61" s="130">
        <v>2003</v>
      </c>
      <c r="AW61" s="130">
        <v>2004</v>
      </c>
      <c r="AX61" s="130">
        <v>2005</v>
      </c>
      <c r="AY61" s="130">
        <v>2006</v>
      </c>
      <c r="AZ61" s="104"/>
      <c r="BA61" s="19" t="s">
        <v>3</v>
      </c>
      <c r="BB61" s="19" t="s">
        <v>3</v>
      </c>
      <c r="BC61" s="19" t="s">
        <v>3</v>
      </c>
      <c r="BD61" s="19" t="s">
        <v>3</v>
      </c>
      <c r="BE61" s="19" t="s">
        <v>3</v>
      </c>
      <c r="BF61" s="19" t="s">
        <v>3</v>
      </c>
      <c r="BG61" s="19" t="s">
        <v>3</v>
      </c>
      <c r="BH61" s="19" t="s">
        <v>3</v>
      </c>
      <c r="BK61" s="19" t="s">
        <v>15</v>
      </c>
      <c r="BL61" s="19" t="s">
        <v>16</v>
      </c>
      <c r="BM61" s="19" t="s">
        <v>17</v>
      </c>
      <c r="BN61" s="19" t="s">
        <v>18</v>
      </c>
      <c r="BO61" s="19" t="s">
        <v>19</v>
      </c>
      <c r="BV61" s="104">
        <v>2003</v>
      </c>
    </row>
    <row r="62" spans="1:60" ht="12.75" customHeight="1">
      <c r="A62" s="29"/>
      <c r="B62" s="87"/>
      <c r="C62" s="83"/>
      <c r="D62" s="29"/>
      <c r="E62" s="29"/>
      <c r="F62" s="29"/>
      <c r="G62" s="29"/>
      <c r="H62" s="29"/>
      <c r="I62" s="29"/>
      <c r="J62" s="29"/>
      <c r="K62" s="29"/>
      <c r="L62" s="29"/>
      <c r="M62" s="27"/>
      <c r="N62" s="27"/>
      <c r="O62" s="27"/>
      <c r="P62" s="27"/>
      <c r="Q62" s="11"/>
      <c r="R62" s="11"/>
      <c r="S62" s="63"/>
      <c r="T62" s="11"/>
      <c r="U62" s="11"/>
      <c r="V62" s="11"/>
      <c r="W62" s="11"/>
      <c r="X62" s="11"/>
      <c r="Y62" s="11"/>
      <c r="Z62" s="112"/>
      <c r="AA62" s="123"/>
      <c r="AB62" s="124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65"/>
      <c r="AS62" s="28"/>
      <c r="AT62" s="28"/>
      <c r="AU62" s="28"/>
      <c r="AV62" s="28"/>
      <c r="AW62" s="28"/>
      <c r="AX62" s="28"/>
      <c r="AY62" s="28"/>
      <c r="AZ62" s="92"/>
      <c r="BA62" s="22" t="s">
        <v>23</v>
      </c>
      <c r="BB62" s="22" t="s">
        <v>23</v>
      </c>
      <c r="BC62" s="22" t="s">
        <v>23</v>
      </c>
      <c r="BD62" s="22" t="s">
        <v>23</v>
      </c>
      <c r="BE62" s="22" t="s">
        <v>23</v>
      </c>
      <c r="BF62" s="22" t="s">
        <v>23</v>
      </c>
      <c r="BG62" s="22" t="s">
        <v>23</v>
      </c>
      <c r="BH62" s="22" t="s">
        <v>23</v>
      </c>
    </row>
    <row r="63" spans="1:49" ht="45.75" customHeight="1">
      <c r="A63" s="3" t="s">
        <v>62</v>
      </c>
      <c r="B63" s="88"/>
      <c r="C63" s="84"/>
      <c r="D63" s="24"/>
      <c r="E63" s="24"/>
      <c r="F63" s="24"/>
      <c r="G63" s="24"/>
      <c r="H63" s="24"/>
      <c r="I63" s="24"/>
      <c r="J63" s="24"/>
      <c r="K63" s="24"/>
      <c r="L63" s="24"/>
      <c r="M63" s="25"/>
      <c r="N63" s="25"/>
      <c r="O63" s="25"/>
      <c r="P63" s="25"/>
      <c r="Q63" s="17"/>
      <c r="R63" s="17"/>
      <c r="S63" s="61"/>
      <c r="T63" s="17"/>
      <c r="U63" s="17"/>
      <c r="V63" s="17"/>
      <c r="W63" s="17"/>
      <c r="X63" s="17"/>
      <c r="Y63" s="17"/>
      <c r="Z63" s="43"/>
      <c r="AA63" s="94"/>
      <c r="AB63" s="92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53"/>
      <c r="AS63" s="26"/>
      <c r="AT63" s="26"/>
      <c r="AU63" s="26"/>
      <c r="AV63" s="26"/>
      <c r="AW63" s="26"/>
    </row>
    <row r="64" spans="1:49" ht="12.75" customHeight="1">
      <c r="A64" s="3"/>
      <c r="B64" s="88"/>
      <c r="C64" s="84"/>
      <c r="D64" s="24"/>
      <c r="E64" s="24"/>
      <c r="F64" s="24"/>
      <c r="G64" s="24"/>
      <c r="H64" s="24"/>
      <c r="I64" s="24"/>
      <c r="J64" s="24"/>
      <c r="K64" s="24"/>
      <c r="L64" s="24"/>
      <c r="M64" s="25"/>
      <c r="N64" s="25"/>
      <c r="O64" s="25"/>
      <c r="P64" s="25"/>
      <c r="Q64" s="17"/>
      <c r="R64" s="17"/>
      <c r="S64" s="61"/>
      <c r="T64" s="17"/>
      <c r="U64" s="17"/>
      <c r="V64" s="17"/>
      <c r="W64" s="17"/>
      <c r="X64" s="17"/>
      <c r="Y64" s="17"/>
      <c r="Z64" s="43"/>
      <c r="AA64" s="94"/>
      <c r="AB64" s="92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53"/>
      <c r="AS64" s="26"/>
      <c r="AT64" s="26"/>
      <c r="AU64" s="26"/>
      <c r="AV64" s="26"/>
      <c r="AW64" s="26"/>
    </row>
    <row r="65" spans="1:77" ht="12.75" customHeight="1">
      <c r="A65" s="9" t="s">
        <v>63</v>
      </c>
      <c r="B65" s="89">
        <v>0.6990881458966566</v>
      </c>
      <c r="C65" s="85">
        <v>0.6994535519125683</v>
      </c>
      <c r="D65" s="25">
        <v>0.7240551889622076</v>
      </c>
      <c r="E65" s="25">
        <v>0.7204803202134756</v>
      </c>
      <c r="F65" s="25">
        <v>0.7251217814892137</v>
      </c>
      <c r="G65" s="25">
        <v>0.7233893557422969</v>
      </c>
      <c r="H65" s="25">
        <v>0.7369085173501577</v>
      </c>
      <c r="I65" s="25">
        <v>0.7467482785003825</v>
      </c>
      <c r="J65" s="25">
        <v>0.7266081871345029</v>
      </c>
      <c r="K65" s="25">
        <v>0.7360902255639098</v>
      </c>
      <c r="L65" s="25">
        <v>0.6969481902058198</v>
      </c>
      <c r="M65" s="25">
        <v>0.7077033837293016</v>
      </c>
      <c r="N65" s="25">
        <v>0.7095871238628412</v>
      </c>
      <c r="O65" s="25">
        <v>0.7314814814814815</v>
      </c>
      <c r="P65" s="25">
        <v>0.7262745098039216</v>
      </c>
      <c r="Q65" s="17">
        <v>0.7223113964686998</v>
      </c>
      <c r="R65" s="17">
        <v>0.7141732283464567</v>
      </c>
      <c r="S65" s="61">
        <v>0.6981919332406119</v>
      </c>
      <c r="T65" s="17">
        <v>0.6940509915014165</v>
      </c>
      <c r="U65" s="17">
        <v>0.6690997566909975</v>
      </c>
      <c r="V65" s="17">
        <f>+AU65/BU65</f>
        <v>0.6683848797250859</v>
      </c>
      <c r="W65" s="17">
        <f>+AV65/BV65</f>
        <v>0.6578799775659002</v>
      </c>
      <c r="X65" s="17">
        <f>+AW65/BW65</f>
        <v>0.5399239543726235</v>
      </c>
      <c r="Y65" s="17">
        <f>+AX65/BX65</f>
        <v>0.6717737183264585</v>
      </c>
      <c r="Z65" s="78">
        <f>SUM(AY65/BY65)</f>
        <v>0.6779560308972074</v>
      </c>
      <c r="AA65" s="94">
        <v>1380</v>
      </c>
      <c r="AB65" s="92">
        <v>1152</v>
      </c>
      <c r="AC65" s="26">
        <v>1207</v>
      </c>
      <c r="AD65" s="26">
        <v>1080</v>
      </c>
      <c r="AE65" s="26">
        <v>1042</v>
      </c>
      <c r="AF65" s="26">
        <v>1033</v>
      </c>
      <c r="AG65" s="26">
        <v>1168</v>
      </c>
      <c r="AH65" s="26">
        <v>976</v>
      </c>
      <c r="AI65" s="26">
        <v>994</v>
      </c>
      <c r="AJ65" s="26">
        <v>979</v>
      </c>
      <c r="AK65" s="26">
        <v>982</v>
      </c>
      <c r="AL65" s="26">
        <v>983</v>
      </c>
      <c r="AM65" s="26">
        <v>1014</v>
      </c>
      <c r="AN65" s="26">
        <v>1027</v>
      </c>
      <c r="AO65" s="26">
        <v>926</v>
      </c>
      <c r="AP65" s="26">
        <v>900</v>
      </c>
      <c r="AQ65" s="26">
        <v>907</v>
      </c>
      <c r="AR65" s="53">
        <v>1004</v>
      </c>
      <c r="AS65" s="26">
        <v>980</v>
      </c>
      <c r="AT65" s="26">
        <v>1100</v>
      </c>
      <c r="AU65" s="26">
        <v>1167</v>
      </c>
      <c r="AV65" s="26">
        <v>1173</v>
      </c>
      <c r="AW65" s="26">
        <v>1136</v>
      </c>
      <c r="AX65" s="6">
        <v>1140</v>
      </c>
      <c r="AY65" s="115">
        <v>1141</v>
      </c>
      <c r="AZ65" s="106"/>
      <c r="BA65" s="4">
        <v>1974</v>
      </c>
      <c r="BB65" s="4">
        <v>1647</v>
      </c>
      <c r="BC65" s="4">
        <v>1667</v>
      </c>
      <c r="BD65" s="4">
        <v>1499</v>
      </c>
      <c r="BE65" s="4">
        <v>1437</v>
      </c>
      <c r="BF65" s="4">
        <v>1428</v>
      </c>
      <c r="BG65" s="4">
        <v>1585</v>
      </c>
      <c r="BH65" s="4">
        <v>1307</v>
      </c>
      <c r="BI65" s="4">
        <f>994+374</f>
        <v>1368</v>
      </c>
      <c r="BJ65" s="4">
        <f>979+351</f>
        <v>1330</v>
      </c>
      <c r="BK65" s="4">
        <f>982+427</f>
        <v>1409</v>
      </c>
      <c r="BL65" s="4">
        <f>983+406</f>
        <v>1389</v>
      </c>
      <c r="BM65" s="4">
        <f>415+1014</f>
        <v>1429</v>
      </c>
      <c r="BN65" s="4">
        <f>1027+377</f>
        <v>1404</v>
      </c>
      <c r="BO65" s="4">
        <f>926+349</f>
        <v>1275</v>
      </c>
      <c r="BP65" s="4">
        <f>900+346</f>
        <v>1246</v>
      </c>
      <c r="BQ65" s="7">
        <f>907+363</f>
        <v>1270</v>
      </c>
      <c r="BR65" s="7">
        <f>434+1004</f>
        <v>1438</v>
      </c>
      <c r="BS65" s="7">
        <v>1412</v>
      </c>
      <c r="BT65" s="7">
        <v>1644</v>
      </c>
      <c r="BU65" s="101">
        <v>1746</v>
      </c>
      <c r="BV65" s="101">
        <v>1783</v>
      </c>
      <c r="BW65" s="101">
        <v>2104</v>
      </c>
      <c r="BX65" s="101">
        <v>1697</v>
      </c>
      <c r="BY65" s="114">
        <v>1683</v>
      </c>
    </row>
    <row r="66" spans="1:54" ht="12.75" customHeight="1" hidden="1">
      <c r="A66" s="9" t="s">
        <v>64</v>
      </c>
      <c r="B66" s="89">
        <v>0.44086021505376344</v>
      </c>
      <c r="C66" s="85">
        <v>0.4074074074074074</v>
      </c>
      <c r="D66" s="40" t="s">
        <v>43</v>
      </c>
      <c r="E66" s="40" t="s">
        <v>43</v>
      </c>
      <c r="F66" s="40" t="s">
        <v>43</v>
      </c>
      <c r="G66" s="40" t="s">
        <v>43</v>
      </c>
      <c r="H66" s="40" t="s">
        <v>43</v>
      </c>
      <c r="I66" s="40" t="s">
        <v>43</v>
      </c>
      <c r="J66" s="40" t="s">
        <v>43</v>
      </c>
      <c r="K66" s="40" t="s">
        <v>43</v>
      </c>
      <c r="L66" s="40" t="s">
        <v>43</v>
      </c>
      <c r="M66" s="40" t="s">
        <v>43</v>
      </c>
      <c r="N66" s="40" t="s">
        <v>43</v>
      </c>
      <c r="O66" s="40" t="s">
        <v>43</v>
      </c>
      <c r="P66" s="40" t="s">
        <v>43</v>
      </c>
      <c r="Q66" s="38" t="s">
        <v>43</v>
      </c>
      <c r="R66" s="38" t="s">
        <v>43</v>
      </c>
      <c r="S66" s="55" t="s">
        <v>43</v>
      </c>
      <c r="T66" s="38" t="s">
        <v>43</v>
      </c>
      <c r="U66" s="38" t="s">
        <v>43</v>
      </c>
      <c r="V66" s="38" t="s">
        <v>43</v>
      </c>
      <c r="W66" s="38" t="s">
        <v>43</v>
      </c>
      <c r="X66" s="69" t="s">
        <v>43</v>
      </c>
      <c r="Y66" s="69" t="s">
        <v>43</v>
      </c>
      <c r="Z66" s="72" t="s">
        <v>43</v>
      </c>
      <c r="AA66" s="94">
        <v>41</v>
      </c>
      <c r="AB66" s="92">
        <v>44</v>
      </c>
      <c r="AC66" s="41" t="s">
        <v>43</v>
      </c>
      <c r="AD66" s="41" t="s">
        <v>43</v>
      </c>
      <c r="AE66" s="41" t="s">
        <v>43</v>
      </c>
      <c r="AF66" s="41" t="s">
        <v>43</v>
      </c>
      <c r="AG66" s="41" t="s">
        <v>43</v>
      </c>
      <c r="AH66" s="41" t="s">
        <v>43</v>
      </c>
      <c r="AI66" s="41" t="s">
        <v>43</v>
      </c>
      <c r="AJ66" s="41" t="s">
        <v>43</v>
      </c>
      <c r="AK66" s="41" t="s">
        <v>43</v>
      </c>
      <c r="AL66" s="41" t="s">
        <v>43</v>
      </c>
      <c r="AM66" s="41" t="s">
        <v>43</v>
      </c>
      <c r="AN66" s="41" t="s">
        <v>43</v>
      </c>
      <c r="AO66" s="41" t="s">
        <v>43</v>
      </c>
      <c r="AP66" s="41" t="s">
        <v>43</v>
      </c>
      <c r="AQ66" s="41" t="s">
        <v>43</v>
      </c>
      <c r="AR66" s="66" t="s">
        <v>43</v>
      </c>
      <c r="AS66" s="41" t="s">
        <v>43</v>
      </c>
      <c r="AT66" s="41" t="s">
        <v>43</v>
      </c>
      <c r="AU66" s="36" t="s">
        <v>43</v>
      </c>
      <c r="AV66" s="36" t="s">
        <v>43</v>
      </c>
      <c r="AW66" s="36" t="s">
        <v>43</v>
      </c>
      <c r="AX66" s="36" t="s">
        <v>43</v>
      </c>
      <c r="AY66" s="36" t="s">
        <v>43</v>
      </c>
      <c r="AZ66" s="73"/>
      <c r="BA66" s="4">
        <v>93</v>
      </c>
      <c r="BB66" s="4">
        <v>108</v>
      </c>
    </row>
    <row r="67" spans="1:77" ht="12.75" customHeight="1">
      <c r="A67" s="116" t="s">
        <v>110</v>
      </c>
      <c r="B67" s="89">
        <v>0.4977645305514158</v>
      </c>
      <c r="C67" s="85">
        <v>0.5171288743882545</v>
      </c>
      <c r="D67" s="25">
        <v>0.5270935960591133</v>
      </c>
      <c r="E67" s="25">
        <v>0.48142414860681115</v>
      </c>
      <c r="F67" s="25">
        <v>0.4645669291338583</v>
      </c>
      <c r="G67" s="25">
        <v>0.4631578947368421</v>
      </c>
      <c r="H67" s="25">
        <v>0.4802816901408451</v>
      </c>
      <c r="I67" s="25">
        <v>0.5006273525721455</v>
      </c>
      <c r="J67" s="25">
        <v>0.5411499436302142</v>
      </c>
      <c r="K67" s="25">
        <v>0.5742471443406023</v>
      </c>
      <c r="L67" s="25">
        <v>0.5442655935613682</v>
      </c>
      <c r="M67" s="25">
        <v>0.5674157303370787</v>
      </c>
      <c r="N67" s="25">
        <v>0.579133510167993</v>
      </c>
      <c r="O67" s="25">
        <v>0.5675675675675675</v>
      </c>
      <c r="P67" s="25">
        <v>0.5700934579439252</v>
      </c>
      <c r="Q67" s="17">
        <v>0.6033950617283951</v>
      </c>
      <c r="R67" s="17">
        <v>0.6187845303867403</v>
      </c>
      <c r="S67" s="61">
        <v>0.6023809523809524</v>
      </c>
      <c r="T67" s="17">
        <v>0.6060113728675873</v>
      </c>
      <c r="U67" s="17">
        <v>0.6239249413604379</v>
      </c>
      <c r="V67" s="17">
        <f aca="true" t="shared" si="19" ref="V67:V84">+AU67/BU67</f>
        <v>0.5886262924667651</v>
      </c>
      <c r="W67" s="17">
        <f aca="true" t="shared" si="20" ref="W67:W84">+AV67/BV67</f>
        <v>0.6137755102040816</v>
      </c>
      <c r="X67" s="17">
        <f aca="true" t="shared" si="21" ref="X67:X84">+AW67/BW67</f>
        <v>0.5089743589743589</v>
      </c>
      <c r="Y67" s="17">
        <f aca="true" t="shared" si="22" ref="Y67:Y84">+AX67/BX67</f>
        <v>0.6371834894207423</v>
      </c>
      <c r="Z67" s="78">
        <f>SUM(AY67/BY67)</f>
        <v>0.5172413793103449</v>
      </c>
      <c r="AA67" s="94">
        <v>334</v>
      </c>
      <c r="AB67" s="92">
        <v>317</v>
      </c>
      <c r="AC67" s="26">
        <v>321</v>
      </c>
      <c r="AD67" s="26">
        <v>311</v>
      </c>
      <c r="AE67" s="26">
        <v>295</v>
      </c>
      <c r="AF67" s="26">
        <v>308</v>
      </c>
      <c r="AG67" s="26">
        <v>341</v>
      </c>
      <c r="AH67" s="26">
        <v>399</v>
      </c>
      <c r="AI67" s="26">
        <v>480</v>
      </c>
      <c r="AJ67" s="26">
        <v>553</v>
      </c>
      <c r="AK67" s="26">
        <v>541</v>
      </c>
      <c r="AL67" s="26">
        <v>606</v>
      </c>
      <c r="AM67" s="26">
        <v>655</v>
      </c>
      <c r="AN67" s="26">
        <v>672</v>
      </c>
      <c r="AO67" s="26">
        <v>671</v>
      </c>
      <c r="AP67" s="26">
        <v>782</v>
      </c>
      <c r="AQ67" s="26">
        <v>784</v>
      </c>
      <c r="AR67" s="53">
        <v>759</v>
      </c>
      <c r="AS67" s="26">
        <v>746</v>
      </c>
      <c r="AT67" s="26">
        <v>798</v>
      </c>
      <c r="AU67" s="26">
        <v>797</v>
      </c>
      <c r="AV67" s="26">
        <v>1203</v>
      </c>
      <c r="AW67" s="26">
        <v>397</v>
      </c>
      <c r="AX67" s="6">
        <f>410+1427</f>
        <v>1837</v>
      </c>
      <c r="AY67" s="115">
        <v>435</v>
      </c>
      <c r="AZ67" s="106"/>
      <c r="BA67" s="4">
        <v>671</v>
      </c>
      <c r="BB67" s="4">
        <v>613</v>
      </c>
      <c r="BC67" s="4">
        <v>609</v>
      </c>
      <c r="BD67" s="4">
        <v>646</v>
      </c>
      <c r="BE67" s="4">
        <v>635</v>
      </c>
      <c r="BF67" s="4">
        <v>665</v>
      </c>
      <c r="BG67" s="4">
        <v>710</v>
      </c>
      <c r="BH67" s="4">
        <v>797</v>
      </c>
      <c r="BI67" s="4">
        <f>480+407</f>
        <v>887</v>
      </c>
      <c r="BJ67" s="4">
        <f>553+410</f>
        <v>963</v>
      </c>
      <c r="BK67" s="4">
        <f>541+453</f>
        <v>994</v>
      </c>
      <c r="BL67" s="4">
        <f>606+462</f>
        <v>1068</v>
      </c>
      <c r="BM67" s="4">
        <f>655+476</f>
        <v>1131</v>
      </c>
      <c r="BN67" s="4">
        <f>672+512</f>
        <v>1184</v>
      </c>
      <c r="BO67" s="4">
        <f>671+506</f>
        <v>1177</v>
      </c>
      <c r="BP67" s="4">
        <f>782+514</f>
        <v>1296</v>
      </c>
      <c r="BQ67" s="7">
        <f>784+483</f>
        <v>1267</v>
      </c>
      <c r="BR67" s="7">
        <f>759+501</f>
        <v>1260</v>
      </c>
      <c r="BS67" s="7">
        <v>1231</v>
      </c>
      <c r="BT67" s="7">
        <v>1279</v>
      </c>
      <c r="BU67" s="101">
        <v>1354</v>
      </c>
      <c r="BV67" s="101">
        <v>1960</v>
      </c>
      <c r="BW67" s="101">
        <v>780</v>
      </c>
      <c r="BX67" s="101">
        <f>818+2065</f>
        <v>2883</v>
      </c>
      <c r="BY67" s="114">
        <v>841</v>
      </c>
    </row>
    <row r="68" spans="1:77" ht="12.75" customHeight="1">
      <c r="A68" s="116" t="s">
        <v>111</v>
      </c>
      <c r="B68" s="89"/>
      <c r="C68" s="8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17"/>
      <c r="R68" s="17"/>
      <c r="S68" s="61"/>
      <c r="T68" s="17"/>
      <c r="U68" s="17"/>
      <c r="V68" s="17"/>
      <c r="W68" s="17"/>
      <c r="X68" s="17"/>
      <c r="Y68" s="17"/>
      <c r="Z68" s="78">
        <f>SUM(AY68/BY68)</f>
        <v>0.6818965517241379</v>
      </c>
      <c r="AA68" s="94"/>
      <c r="AB68" s="92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53"/>
      <c r="AS68" s="26"/>
      <c r="AT68" s="26"/>
      <c r="AU68" s="26"/>
      <c r="AV68" s="26"/>
      <c r="AW68" s="26"/>
      <c r="AY68" s="115">
        <v>1582</v>
      </c>
      <c r="AZ68" s="106"/>
      <c r="BQ68" s="7"/>
      <c r="BR68" s="7"/>
      <c r="BS68" s="7"/>
      <c r="BT68" s="7"/>
      <c r="BY68" s="114">
        <v>2320</v>
      </c>
    </row>
    <row r="69" spans="1:77" ht="12.75" customHeight="1">
      <c r="A69" s="9" t="s">
        <v>65</v>
      </c>
      <c r="B69" s="89">
        <v>0.5173076923076924</v>
      </c>
      <c r="C69" s="85">
        <v>0.4973302822273074</v>
      </c>
      <c r="D69" s="25">
        <v>0.5008183306055647</v>
      </c>
      <c r="E69" s="25">
        <v>0.5303913405495421</v>
      </c>
      <c r="F69" s="25">
        <v>0.5517985611510792</v>
      </c>
      <c r="G69" s="25">
        <v>0.5534995977473853</v>
      </c>
      <c r="H69" s="25">
        <v>0.5209125475285171</v>
      </c>
      <c r="I69" s="25">
        <v>0.5258019525801952</v>
      </c>
      <c r="J69" s="25">
        <v>0.5423280423280423</v>
      </c>
      <c r="K69" s="25">
        <v>0.5397835773392744</v>
      </c>
      <c r="L69" s="25">
        <v>0.537598944591029</v>
      </c>
      <c r="M69" s="25">
        <v>0.5434782608695652</v>
      </c>
      <c r="N69" s="25">
        <v>0.5353666450356911</v>
      </c>
      <c r="O69" s="25">
        <v>0.5427435387673957</v>
      </c>
      <c r="P69" s="25">
        <v>0.5304918032786885</v>
      </c>
      <c r="Q69" s="17">
        <v>0.5502239283429302</v>
      </c>
      <c r="R69" s="17">
        <v>0.5504032258064516</v>
      </c>
      <c r="S69" s="61">
        <v>0.5325402379286214</v>
      </c>
      <c r="T69" s="17">
        <v>0.5636492220650636</v>
      </c>
      <c r="U69" s="17">
        <v>0.5562724014336917</v>
      </c>
      <c r="V69" s="17">
        <f t="shared" si="19"/>
        <v>0.5685543964232489</v>
      </c>
      <c r="W69" s="17">
        <f t="shared" si="20"/>
        <v>0.5597624350408315</v>
      </c>
      <c r="X69" s="17">
        <f t="shared" si="21"/>
        <v>0.5526706231454006</v>
      </c>
      <c r="Y69" s="17">
        <f t="shared" si="22"/>
        <v>0.5476369092273068</v>
      </c>
      <c r="Z69" s="78">
        <f aca="true" t="shared" si="23" ref="Z69:Z91">SUM(AY69/BY69)</f>
        <v>0.5323420074349442</v>
      </c>
      <c r="AA69" s="94">
        <v>807</v>
      </c>
      <c r="AB69" s="92">
        <v>652</v>
      </c>
      <c r="AC69" s="26">
        <v>612</v>
      </c>
      <c r="AD69" s="26">
        <v>637</v>
      </c>
      <c r="AE69" s="26">
        <v>767</v>
      </c>
      <c r="AF69" s="26">
        <v>688</v>
      </c>
      <c r="AG69" s="26">
        <v>685</v>
      </c>
      <c r="AH69" s="26">
        <v>754</v>
      </c>
      <c r="AI69" s="26">
        <v>820</v>
      </c>
      <c r="AJ69" s="26">
        <v>848</v>
      </c>
      <c r="AK69" s="26">
        <v>815</v>
      </c>
      <c r="AL69" s="26">
        <f>686+114</f>
        <v>800</v>
      </c>
      <c r="AM69" s="26">
        <f>676+149</f>
        <v>825</v>
      </c>
      <c r="AN69" s="26">
        <v>819</v>
      </c>
      <c r="AO69" s="26">
        <f>677+132</f>
        <v>809</v>
      </c>
      <c r="AP69" s="26">
        <v>860</v>
      </c>
      <c r="AQ69" s="26">
        <v>819</v>
      </c>
      <c r="AR69" s="53">
        <v>761</v>
      </c>
      <c r="AS69" s="26">
        <v>797</v>
      </c>
      <c r="AT69" s="26">
        <v>776</v>
      </c>
      <c r="AU69" s="26">
        <v>763</v>
      </c>
      <c r="AV69" s="26">
        <v>754</v>
      </c>
      <c r="AW69" s="26">
        <v>745</v>
      </c>
      <c r="AX69" s="6">
        <v>730</v>
      </c>
      <c r="AY69" s="115">
        <v>716</v>
      </c>
      <c r="AZ69" s="106"/>
      <c r="BA69" s="4">
        <v>1560</v>
      </c>
      <c r="BB69" s="4">
        <v>1311</v>
      </c>
      <c r="BC69" s="4">
        <v>1222</v>
      </c>
      <c r="BD69" s="4">
        <v>1201</v>
      </c>
      <c r="BE69" s="4">
        <v>1390</v>
      </c>
      <c r="BF69" s="4">
        <v>1243</v>
      </c>
      <c r="BG69" s="4">
        <v>1315</v>
      </c>
      <c r="BH69" s="4">
        <v>1434</v>
      </c>
      <c r="BI69" s="4">
        <f>820+692</f>
        <v>1512</v>
      </c>
      <c r="BJ69" s="4">
        <v>1571</v>
      </c>
      <c r="BK69" s="4">
        <f>701+815</f>
        <v>1516</v>
      </c>
      <c r="BL69" s="4">
        <f>587+686+85+114</f>
        <v>1472</v>
      </c>
      <c r="BM69" s="4">
        <f>595+676+121+149</f>
        <v>1541</v>
      </c>
      <c r="BN69" s="4">
        <f>690+819</f>
        <v>1509</v>
      </c>
      <c r="BO69" s="4">
        <f>614+677+102+132</f>
        <v>1525</v>
      </c>
      <c r="BP69" s="4">
        <f>860+703</f>
        <v>1563</v>
      </c>
      <c r="BQ69" s="7">
        <f>819+669</f>
        <v>1488</v>
      </c>
      <c r="BR69" s="7">
        <f>761+668</f>
        <v>1429</v>
      </c>
      <c r="BS69" s="7">
        <v>1414</v>
      </c>
      <c r="BT69" s="7">
        <v>1395</v>
      </c>
      <c r="BU69" s="101">
        <v>1342</v>
      </c>
      <c r="BV69" s="101">
        <v>1347</v>
      </c>
      <c r="BW69" s="101">
        <v>1348</v>
      </c>
      <c r="BX69" s="101">
        <v>1333</v>
      </c>
      <c r="BY69" s="114">
        <v>1345</v>
      </c>
    </row>
    <row r="70" spans="1:77" ht="12.75" customHeight="1">
      <c r="A70" s="9" t="s">
        <v>66</v>
      </c>
      <c r="B70" s="89">
        <v>0.36269662921348317</v>
      </c>
      <c r="C70" s="85">
        <v>0.44616576297443844</v>
      </c>
      <c r="D70" s="25">
        <v>0.424408014571949</v>
      </c>
      <c r="E70" s="25">
        <v>0.4406779661016949</v>
      </c>
      <c r="F70" s="25">
        <v>0.46164021164021163</v>
      </c>
      <c r="G70" s="25">
        <v>0.47471402769416016</v>
      </c>
      <c r="H70" s="25">
        <v>0.4750420639371845</v>
      </c>
      <c r="I70" s="25">
        <v>0.49732334047109206</v>
      </c>
      <c r="J70" s="25">
        <v>0.5177725118483413</v>
      </c>
      <c r="K70" s="25">
        <v>0.5404351395730707</v>
      </c>
      <c r="L70" s="25">
        <v>0.5529390616573792</v>
      </c>
      <c r="M70" s="25">
        <v>0.5375520399666944</v>
      </c>
      <c r="N70" s="25">
        <v>0.5335332176108569</v>
      </c>
      <c r="O70" s="25">
        <v>0.5610852464279981</v>
      </c>
      <c r="P70" s="25">
        <v>0.5724659158269116</v>
      </c>
      <c r="Q70" s="17">
        <v>0.5745796906523201</v>
      </c>
      <c r="R70" s="17">
        <v>0.5706832298136646</v>
      </c>
      <c r="S70" s="61">
        <v>0.5809797550612347</v>
      </c>
      <c r="T70" s="17">
        <v>0.5647961751383996</v>
      </c>
      <c r="U70" s="17">
        <v>0.5712283979448856</v>
      </c>
      <c r="V70" s="17">
        <f t="shared" si="19"/>
        <v>0.5705514623799955</v>
      </c>
      <c r="W70" s="17">
        <f t="shared" si="20"/>
        <v>0.5701754385964912</v>
      </c>
      <c r="X70" s="17">
        <f t="shared" si="21"/>
        <v>0.5790142507034582</v>
      </c>
      <c r="Y70" s="17">
        <f t="shared" si="22"/>
        <v>0.5801390773405699</v>
      </c>
      <c r="Z70" s="78">
        <f t="shared" si="23"/>
        <v>0.5829804560260586</v>
      </c>
      <c r="AA70" s="94">
        <v>807</v>
      </c>
      <c r="AB70" s="92">
        <v>1152</v>
      </c>
      <c r="AC70" s="26">
        <v>1165</v>
      </c>
      <c r="AD70" s="26">
        <v>1300</v>
      </c>
      <c r="AE70" s="26">
        <v>1396</v>
      </c>
      <c r="AF70" s="26">
        <v>1577</v>
      </c>
      <c r="AG70" s="26">
        <v>1694</v>
      </c>
      <c r="AH70" s="26">
        <v>1858</v>
      </c>
      <c r="AI70" s="26">
        <v>2185</v>
      </c>
      <c r="AJ70" s="26">
        <v>2633</v>
      </c>
      <c r="AK70" s="26">
        <v>3076</v>
      </c>
      <c r="AL70" s="26">
        <v>3228</v>
      </c>
      <c r="AM70" s="26">
        <v>3381</v>
      </c>
      <c r="AN70" s="26">
        <v>3495</v>
      </c>
      <c r="AO70" s="26">
        <v>3863</v>
      </c>
      <c r="AP70" s="26">
        <v>4272</v>
      </c>
      <c r="AQ70" s="26">
        <v>4594</v>
      </c>
      <c r="AR70" s="53">
        <v>4649</v>
      </c>
      <c r="AS70" s="26">
        <v>4489</v>
      </c>
      <c r="AT70" s="26">
        <v>4892</v>
      </c>
      <c r="AU70" s="26">
        <v>5111</v>
      </c>
      <c r="AV70" s="26">
        <v>5785</v>
      </c>
      <c r="AW70" s="26">
        <f>3880+2499</f>
        <v>6379</v>
      </c>
      <c r="AX70" s="6">
        <v>6841</v>
      </c>
      <c r="AY70" s="115">
        <v>7159</v>
      </c>
      <c r="AZ70" s="106"/>
      <c r="BA70" s="4">
        <v>2225</v>
      </c>
      <c r="BB70" s="4">
        <v>2582</v>
      </c>
      <c r="BC70" s="4">
        <v>2745</v>
      </c>
      <c r="BD70" s="4">
        <v>2950</v>
      </c>
      <c r="BE70" s="4">
        <v>3024</v>
      </c>
      <c r="BF70" s="4">
        <v>3322</v>
      </c>
      <c r="BG70" s="4">
        <v>3566</v>
      </c>
      <c r="BH70" s="4">
        <v>3736</v>
      </c>
      <c r="BI70" s="4">
        <f>2035+2185</f>
        <v>4220</v>
      </c>
      <c r="BJ70" s="4">
        <f>2633+2239</f>
        <v>4872</v>
      </c>
      <c r="BK70" s="4">
        <f>2487+3076</f>
        <v>5563</v>
      </c>
      <c r="BL70" s="4">
        <f>2777+3228</f>
        <v>6005</v>
      </c>
      <c r="BM70" s="4">
        <f>2956+3381</f>
        <v>6337</v>
      </c>
      <c r="BN70" s="4">
        <f>2734+3495</f>
        <v>6229</v>
      </c>
      <c r="BO70" s="4">
        <f>3863+2885</f>
        <v>6748</v>
      </c>
      <c r="BP70" s="4">
        <f>3163+4272</f>
        <v>7435</v>
      </c>
      <c r="BQ70" s="7">
        <f>3456+4594</f>
        <v>8050</v>
      </c>
      <c r="BR70" s="7">
        <f>4649+3353</f>
        <v>8002</v>
      </c>
      <c r="BS70" s="7">
        <v>7948</v>
      </c>
      <c r="BT70" s="7">
        <v>8564</v>
      </c>
      <c r="BU70" s="101">
        <v>8958</v>
      </c>
      <c r="BV70" s="101">
        <v>10146</v>
      </c>
      <c r="BW70" s="101">
        <v>11017</v>
      </c>
      <c r="BX70" s="101">
        <v>11792</v>
      </c>
      <c r="BY70" s="114">
        <v>12280</v>
      </c>
    </row>
    <row r="71" spans="1:77" ht="12.75" customHeight="1">
      <c r="A71" s="9" t="s">
        <v>67</v>
      </c>
      <c r="B71" s="89">
        <v>0.5062111801242236</v>
      </c>
      <c r="C71" s="85">
        <v>0.5358851674641149</v>
      </c>
      <c r="D71" s="25">
        <v>0.5572755417956656</v>
      </c>
      <c r="E71" s="25">
        <v>0.522633744855967</v>
      </c>
      <c r="F71" s="25">
        <v>0.5480427046263345</v>
      </c>
      <c r="G71" s="25">
        <v>0.5496760259179265</v>
      </c>
      <c r="H71" s="25">
        <v>0.6211240310077519</v>
      </c>
      <c r="I71" s="25">
        <v>0.60543580131209</v>
      </c>
      <c r="J71" s="25">
        <v>0.6049601417183348</v>
      </c>
      <c r="K71" s="25">
        <v>0.6193327630453379</v>
      </c>
      <c r="L71" s="25">
        <v>0.6358078602620088</v>
      </c>
      <c r="M71" s="25">
        <v>0.6485507246376812</v>
      </c>
      <c r="N71" s="25">
        <v>0.6575212866603595</v>
      </c>
      <c r="O71" s="25">
        <v>0.6643356643356644</v>
      </c>
      <c r="P71" s="25">
        <v>0.6450048496605237</v>
      </c>
      <c r="Q71" s="17">
        <v>0.6217303822937625</v>
      </c>
      <c r="R71" s="17">
        <v>0.6139978791092259</v>
      </c>
      <c r="S71" s="61">
        <v>0.5770114942528736</v>
      </c>
      <c r="T71" s="17">
        <v>0.5542021924482339</v>
      </c>
      <c r="U71" s="17">
        <v>0.5481120584652862</v>
      </c>
      <c r="V71" s="17">
        <f t="shared" si="19"/>
        <v>0.572463768115942</v>
      </c>
      <c r="W71" s="17">
        <f t="shared" si="20"/>
        <v>0.5736526946107784</v>
      </c>
      <c r="X71" s="17">
        <f t="shared" si="21"/>
        <v>0.5754385964912281</v>
      </c>
      <c r="Y71" s="17">
        <f t="shared" si="22"/>
        <v>0.5773809523809523</v>
      </c>
      <c r="Z71" s="78">
        <f t="shared" si="23"/>
        <v>0.5799769850402762</v>
      </c>
      <c r="AA71" s="94">
        <v>326</v>
      </c>
      <c r="AB71" s="92">
        <v>336</v>
      </c>
      <c r="AC71" s="26">
        <v>360</v>
      </c>
      <c r="AD71" s="26">
        <v>381</v>
      </c>
      <c r="AE71" s="26">
        <v>462</v>
      </c>
      <c r="AF71" s="26">
        <v>509</v>
      </c>
      <c r="AG71" s="26">
        <v>641</v>
      </c>
      <c r="AH71" s="26">
        <v>646</v>
      </c>
      <c r="AI71" s="26">
        <v>683</v>
      </c>
      <c r="AJ71" s="26">
        <v>724</v>
      </c>
      <c r="AK71" s="26">
        <v>728</v>
      </c>
      <c r="AL71" s="26">
        <v>716</v>
      </c>
      <c r="AM71" s="26">
        <v>695</v>
      </c>
      <c r="AN71" s="26">
        <v>665</v>
      </c>
      <c r="AO71" s="26">
        <v>665</v>
      </c>
      <c r="AP71" s="26">
        <v>618</v>
      </c>
      <c r="AQ71" s="26">
        <v>579</v>
      </c>
      <c r="AR71" s="53">
        <v>502</v>
      </c>
      <c r="AS71" s="26">
        <v>455</v>
      </c>
      <c r="AT71" s="26">
        <v>450</v>
      </c>
      <c r="AU71" s="26">
        <v>474</v>
      </c>
      <c r="AV71" s="26">
        <v>479</v>
      </c>
      <c r="AW71" s="26">
        <v>492</v>
      </c>
      <c r="AX71" s="6">
        <v>485</v>
      </c>
      <c r="AY71" s="115">
        <v>504</v>
      </c>
      <c r="AZ71" s="106"/>
      <c r="BA71" s="4">
        <v>644</v>
      </c>
      <c r="BB71" s="4">
        <v>627</v>
      </c>
      <c r="BC71" s="4">
        <v>646</v>
      </c>
      <c r="BD71" s="4">
        <v>729</v>
      </c>
      <c r="BE71" s="4">
        <v>843</v>
      </c>
      <c r="BF71" s="4">
        <v>926</v>
      </c>
      <c r="BG71" s="4">
        <v>1032</v>
      </c>
      <c r="BH71" s="4">
        <v>1067</v>
      </c>
      <c r="BI71" s="4">
        <f>446+683</f>
        <v>1129</v>
      </c>
      <c r="BJ71" s="4">
        <f>724+445</f>
        <v>1169</v>
      </c>
      <c r="BK71" s="4">
        <f>417+728</f>
        <v>1145</v>
      </c>
      <c r="BL71" s="4">
        <f>716+388</f>
        <v>1104</v>
      </c>
      <c r="BM71" s="4">
        <f>362+695</f>
        <v>1057</v>
      </c>
      <c r="BN71" s="4">
        <f>665+336</f>
        <v>1001</v>
      </c>
      <c r="BO71" s="4">
        <f>665+366</f>
        <v>1031</v>
      </c>
      <c r="BP71" s="4">
        <f>376+618</f>
        <v>994</v>
      </c>
      <c r="BQ71" s="7">
        <f>579+364</f>
        <v>943</v>
      </c>
      <c r="BR71" s="7">
        <f>502+368</f>
        <v>870</v>
      </c>
      <c r="BS71" s="7">
        <v>821</v>
      </c>
      <c r="BT71" s="7">
        <v>821</v>
      </c>
      <c r="BU71" s="101">
        <v>828</v>
      </c>
      <c r="BV71" s="101">
        <v>835</v>
      </c>
      <c r="BW71" s="101">
        <v>855</v>
      </c>
      <c r="BX71" s="101">
        <v>840</v>
      </c>
      <c r="BY71" s="114">
        <v>869</v>
      </c>
    </row>
    <row r="72" spans="1:77" ht="12.75" customHeight="1">
      <c r="A72" s="9" t="s">
        <v>68</v>
      </c>
      <c r="B72" s="89">
        <v>0.5809084457061746</v>
      </c>
      <c r="C72" s="85">
        <v>0.5940959409594095</v>
      </c>
      <c r="D72" s="25">
        <v>0.5941666666666666</v>
      </c>
      <c r="E72" s="25">
        <v>0.6049670159099728</v>
      </c>
      <c r="F72" s="25">
        <v>0.6077865897620764</v>
      </c>
      <c r="G72" s="25">
        <v>0.6123822341857336</v>
      </c>
      <c r="H72" s="25">
        <v>0.6289607097591888</v>
      </c>
      <c r="I72" s="25">
        <v>0.6550165712564026</v>
      </c>
      <c r="J72" s="25">
        <v>0.6515281348186233</v>
      </c>
      <c r="K72" s="25">
        <v>0.6470072992700729</v>
      </c>
      <c r="L72" s="25">
        <v>0.6451327433628319</v>
      </c>
      <c r="M72" s="25">
        <v>0.6448570586501621</v>
      </c>
      <c r="N72" s="25">
        <v>0.6352765321375187</v>
      </c>
      <c r="O72" s="25">
        <v>0.6222415795586528</v>
      </c>
      <c r="P72" s="25">
        <v>0.6273964990275076</v>
      </c>
      <c r="Q72" s="17">
        <v>0.6339027595269382</v>
      </c>
      <c r="R72" s="17">
        <v>0.6380731581658938</v>
      </c>
      <c r="S72" s="61">
        <v>0.631404958677686</v>
      </c>
      <c r="T72" s="17">
        <v>0.6446642134314627</v>
      </c>
      <c r="U72" s="17">
        <v>0.6559038416214942</v>
      </c>
      <c r="V72" s="17">
        <f t="shared" si="19"/>
        <v>0.662528216704289</v>
      </c>
      <c r="W72" s="17">
        <f t="shared" si="20"/>
        <v>0.6646301549203578</v>
      </c>
      <c r="X72" s="17">
        <f t="shared" si="21"/>
        <v>0.6591004623791509</v>
      </c>
      <c r="Y72" s="17">
        <f t="shared" si="22"/>
        <v>0.6654464104128534</v>
      </c>
      <c r="Z72" s="78">
        <f t="shared" si="23"/>
        <v>0.6630678345895294</v>
      </c>
      <c r="AA72" s="94">
        <v>1637</v>
      </c>
      <c r="AB72" s="92">
        <v>1449</v>
      </c>
      <c r="AC72" s="26">
        <v>1426</v>
      </c>
      <c r="AD72" s="26">
        <v>1559</v>
      </c>
      <c r="AE72" s="26">
        <v>1686</v>
      </c>
      <c r="AF72" s="26">
        <v>1820</v>
      </c>
      <c r="AG72" s="26">
        <v>1985</v>
      </c>
      <c r="AH72" s="26">
        <v>2174</v>
      </c>
      <c r="AI72" s="26">
        <v>2281</v>
      </c>
      <c r="AJ72" s="26">
        <v>2216</v>
      </c>
      <c r="AK72" s="26">
        <v>2187</v>
      </c>
      <c r="AL72" s="26">
        <v>2188</v>
      </c>
      <c r="AM72" s="26">
        <v>2125</v>
      </c>
      <c r="AN72" s="26">
        <v>2143</v>
      </c>
      <c r="AO72" s="26">
        <v>2258</v>
      </c>
      <c r="AP72" s="26">
        <v>2412</v>
      </c>
      <c r="AQ72" s="26">
        <v>2477</v>
      </c>
      <c r="AR72" s="53">
        <v>2674</v>
      </c>
      <c r="AS72" s="26">
        <v>2803</v>
      </c>
      <c r="AT72" s="26">
        <v>2783</v>
      </c>
      <c r="AU72" s="26">
        <v>2935</v>
      </c>
      <c r="AV72" s="26">
        <v>3046</v>
      </c>
      <c r="AW72" s="26">
        <v>3136</v>
      </c>
      <c r="AX72" s="6">
        <v>3272</v>
      </c>
      <c r="AY72" s="115">
        <v>3255</v>
      </c>
      <c r="AZ72" s="106"/>
      <c r="BA72" s="4">
        <v>2818</v>
      </c>
      <c r="BB72" s="4">
        <v>2439</v>
      </c>
      <c r="BC72" s="4">
        <v>2400</v>
      </c>
      <c r="BD72" s="4">
        <v>2577</v>
      </c>
      <c r="BE72" s="4">
        <v>2774</v>
      </c>
      <c r="BF72" s="4">
        <v>2972</v>
      </c>
      <c r="BG72" s="4">
        <v>3156</v>
      </c>
      <c r="BH72" s="4">
        <v>3319</v>
      </c>
      <c r="BI72" s="4">
        <f>2281+1220</f>
        <v>3501</v>
      </c>
      <c r="BJ72" s="4">
        <f>2216+1209</f>
        <v>3425</v>
      </c>
      <c r="BK72" s="4">
        <f>2187+1203</f>
        <v>3390</v>
      </c>
      <c r="BL72" s="4">
        <f>2188+1205</f>
        <v>3393</v>
      </c>
      <c r="BM72" s="4">
        <f>2125+1220</f>
        <v>3345</v>
      </c>
      <c r="BN72" s="4">
        <f>2143+1301</f>
        <v>3444</v>
      </c>
      <c r="BO72" s="4">
        <f>2258+1341</f>
        <v>3599</v>
      </c>
      <c r="BP72" s="4">
        <f>1393+2412</f>
        <v>3805</v>
      </c>
      <c r="BQ72" s="7">
        <f>2477+1405</f>
        <v>3882</v>
      </c>
      <c r="BR72" s="7">
        <f>2674+1561</f>
        <v>4235</v>
      </c>
      <c r="BS72" s="7">
        <v>4348</v>
      </c>
      <c r="BT72" s="7">
        <v>4243</v>
      </c>
      <c r="BU72" s="101">
        <v>4430</v>
      </c>
      <c r="BV72" s="101">
        <v>4583</v>
      </c>
      <c r="BW72" s="101">
        <v>4758</v>
      </c>
      <c r="BX72" s="101">
        <v>4917</v>
      </c>
      <c r="BY72" s="114">
        <v>4909</v>
      </c>
    </row>
    <row r="73" spans="1:77" ht="12.75" customHeight="1">
      <c r="A73" s="9" t="s">
        <v>69</v>
      </c>
      <c r="B73" s="89">
        <v>0.574761399787911</v>
      </c>
      <c r="C73" s="85">
        <v>0.5698509110988405</v>
      </c>
      <c r="D73" s="25">
        <v>0.558244231851435</v>
      </c>
      <c r="E73" s="25">
        <v>0.5462392108508015</v>
      </c>
      <c r="F73" s="25">
        <v>0.5276569297700435</v>
      </c>
      <c r="G73" s="25">
        <v>0.5367693274670019</v>
      </c>
      <c r="H73" s="25">
        <v>0.5543478260869565</v>
      </c>
      <c r="I73" s="25">
        <v>0.5495081967213115</v>
      </c>
      <c r="J73" s="25">
        <v>0.5376623376623376</v>
      </c>
      <c r="K73" s="40" t="s">
        <v>42</v>
      </c>
      <c r="L73" s="25">
        <v>0.5161971830985915</v>
      </c>
      <c r="M73" s="41" t="s">
        <v>42</v>
      </c>
      <c r="N73" s="25">
        <v>0.5580791693705386</v>
      </c>
      <c r="O73" s="25">
        <v>0.5408360128617363</v>
      </c>
      <c r="P73" s="25">
        <v>0.5635324015247777</v>
      </c>
      <c r="Q73" s="17">
        <v>0.5643564356435643</v>
      </c>
      <c r="R73" s="38" t="s">
        <v>42</v>
      </c>
      <c r="S73" s="61">
        <v>0.5837595907928389</v>
      </c>
      <c r="T73" s="17">
        <v>0.5591677503250976</v>
      </c>
      <c r="U73" s="17">
        <v>0.5660749506903353</v>
      </c>
      <c r="V73" s="17">
        <f t="shared" si="19"/>
        <v>0.59987929993965</v>
      </c>
      <c r="W73" s="17">
        <f t="shared" si="20"/>
        <v>0.5927331887201736</v>
      </c>
      <c r="X73" s="17">
        <f t="shared" si="21"/>
        <v>0.6131164209456025</v>
      </c>
      <c r="Y73" s="17">
        <f t="shared" si="22"/>
        <v>0.5806629834254143</v>
      </c>
      <c r="Z73" s="78">
        <f t="shared" si="23"/>
        <v>0.6019755955839629</v>
      </c>
      <c r="AA73" s="94">
        <v>1084</v>
      </c>
      <c r="AB73" s="92">
        <v>1032</v>
      </c>
      <c r="AC73" s="26">
        <v>992</v>
      </c>
      <c r="AD73" s="26">
        <v>886</v>
      </c>
      <c r="AE73" s="26">
        <v>849</v>
      </c>
      <c r="AF73" s="26">
        <v>854</v>
      </c>
      <c r="AG73" s="26">
        <v>867</v>
      </c>
      <c r="AH73" s="26">
        <v>838</v>
      </c>
      <c r="AI73" s="26">
        <f>761+67</f>
        <v>828</v>
      </c>
      <c r="AJ73" s="41" t="s">
        <v>42</v>
      </c>
      <c r="AK73" s="26">
        <v>733</v>
      </c>
      <c r="AL73" s="41" t="s">
        <v>42</v>
      </c>
      <c r="AM73" s="26">
        <v>860</v>
      </c>
      <c r="AN73" s="26">
        <v>841</v>
      </c>
      <c r="AO73" s="26">
        <v>887</v>
      </c>
      <c r="AP73" s="26">
        <v>912</v>
      </c>
      <c r="AQ73" s="41" t="s">
        <v>42</v>
      </c>
      <c r="AR73" s="66">
        <v>913</v>
      </c>
      <c r="AS73" s="41">
        <v>860</v>
      </c>
      <c r="AT73" s="41">
        <v>861</v>
      </c>
      <c r="AU73" s="41">
        <v>994</v>
      </c>
      <c r="AV73" s="41">
        <v>1093</v>
      </c>
      <c r="AW73" s="41">
        <v>1206</v>
      </c>
      <c r="AX73" s="6">
        <v>1051</v>
      </c>
      <c r="AY73" s="115">
        <v>1036</v>
      </c>
      <c r="AZ73" s="106"/>
      <c r="BA73" s="4">
        <v>1886</v>
      </c>
      <c r="BB73" s="4">
        <v>1811</v>
      </c>
      <c r="BC73" s="4">
        <v>1777</v>
      </c>
      <c r="BD73" s="4">
        <v>1622</v>
      </c>
      <c r="BE73" s="4">
        <v>1609</v>
      </c>
      <c r="BF73" s="4">
        <v>1591</v>
      </c>
      <c r="BG73" s="4">
        <v>1564</v>
      </c>
      <c r="BH73" s="4">
        <v>1525</v>
      </c>
      <c r="BI73" s="4">
        <f>660+761+52+67</f>
        <v>1540</v>
      </c>
      <c r="BK73" s="4">
        <f>639+680+45+56</f>
        <v>1420</v>
      </c>
      <c r="BM73" s="4">
        <f>681+860</f>
        <v>1541</v>
      </c>
      <c r="BN73" s="4">
        <f>841+714</f>
        <v>1555</v>
      </c>
      <c r="BO73" s="4">
        <f>887+687</f>
        <v>1574</v>
      </c>
      <c r="BP73" s="4">
        <f>704+912</f>
        <v>1616</v>
      </c>
      <c r="BR73" s="7">
        <f>913+651</f>
        <v>1564</v>
      </c>
      <c r="BS73" s="7">
        <v>1538</v>
      </c>
      <c r="BT73" s="7">
        <v>1521</v>
      </c>
      <c r="BU73" s="101">
        <v>1657</v>
      </c>
      <c r="BV73" s="101">
        <v>1844</v>
      </c>
      <c r="BW73" s="101">
        <v>1967</v>
      </c>
      <c r="BX73" s="101">
        <v>1810</v>
      </c>
      <c r="BY73" s="114">
        <v>1721</v>
      </c>
    </row>
    <row r="74" spans="1:77" ht="12.75" customHeight="1">
      <c r="A74" s="9" t="s">
        <v>70</v>
      </c>
      <c r="B74" s="89">
        <v>0.8424036281179138</v>
      </c>
      <c r="C74" s="85">
        <v>0.8042553191489362</v>
      </c>
      <c r="D74" s="25">
        <v>0.773109243697479</v>
      </c>
      <c r="E74" s="25">
        <v>0.7365591397849462</v>
      </c>
      <c r="F74" s="25">
        <v>0.7497326203208556</v>
      </c>
      <c r="G74" s="25">
        <v>0.6763527054108216</v>
      </c>
      <c r="H74" s="25">
        <v>0.6225868725868726</v>
      </c>
      <c r="I74" s="25">
        <v>0.6272563176895307</v>
      </c>
      <c r="J74" s="25">
        <v>0.6321334503950834</v>
      </c>
      <c r="K74" s="25">
        <v>0.6650485436893204</v>
      </c>
      <c r="L74" s="25">
        <v>0.5277217741935484</v>
      </c>
      <c r="M74" s="25">
        <v>0.6342149690489589</v>
      </c>
      <c r="N74" s="25">
        <v>0.6662700773349197</v>
      </c>
      <c r="O74" s="25">
        <v>0.6685330347144457</v>
      </c>
      <c r="P74" s="25">
        <v>0.6524973432518597</v>
      </c>
      <c r="Q74" s="17">
        <v>0.6475170399221032</v>
      </c>
      <c r="R74" s="17">
        <v>0.6688508064516129</v>
      </c>
      <c r="S74" s="61">
        <v>0.6859344894026975</v>
      </c>
      <c r="T74" s="17">
        <v>0.6951456310679611</v>
      </c>
      <c r="U74" s="17">
        <v>0.7235401459854015</v>
      </c>
      <c r="V74" s="17">
        <f t="shared" si="19"/>
        <v>0.7453071672354948</v>
      </c>
      <c r="W74" s="17">
        <f t="shared" si="20"/>
        <v>0.7616050354051928</v>
      </c>
      <c r="X74" s="17">
        <f t="shared" si="21"/>
        <v>0.7446055889635657</v>
      </c>
      <c r="Y74" s="17">
        <f t="shared" si="22"/>
        <v>0.752820874471086</v>
      </c>
      <c r="Z74" s="78">
        <f t="shared" si="23"/>
        <v>0.7236662106703147</v>
      </c>
      <c r="AA74" s="94">
        <v>743</v>
      </c>
      <c r="AB74" s="92">
        <v>756</v>
      </c>
      <c r="AC74" s="26">
        <v>736</v>
      </c>
      <c r="AD74" s="26">
        <v>685</v>
      </c>
      <c r="AE74" s="26">
        <v>701</v>
      </c>
      <c r="AF74" s="26">
        <v>675</v>
      </c>
      <c r="AG74" s="26">
        <v>645</v>
      </c>
      <c r="AH74" s="26">
        <v>695</v>
      </c>
      <c r="AI74" s="26">
        <v>720</v>
      </c>
      <c r="AJ74" s="26">
        <v>822</v>
      </c>
      <c r="AK74" s="26">
        <v>1047</v>
      </c>
      <c r="AL74" s="26">
        <v>1127</v>
      </c>
      <c r="AM74" s="26">
        <v>1120</v>
      </c>
      <c r="AN74" s="26">
        <v>1194</v>
      </c>
      <c r="AO74" s="26">
        <v>1228</v>
      </c>
      <c r="AP74" s="26">
        <v>1330</v>
      </c>
      <c r="AQ74" s="26">
        <v>1327</v>
      </c>
      <c r="AR74" s="53">
        <v>1424</v>
      </c>
      <c r="AS74" s="26">
        <v>1432</v>
      </c>
      <c r="AT74" s="26">
        <v>1586</v>
      </c>
      <c r="AU74" s="26">
        <v>1747</v>
      </c>
      <c r="AV74" s="26">
        <v>1936</v>
      </c>
      <c r="AW74" s="26">
        <v>2105</v>
      </c>
      <c r="AX74" s="6">
        <v>2135</v>
      </c>
      <c r="AY74" s="115">
        <v>2116</v>
      </c>
      <c r="AZ74" s="106"/>
      <c r="BA74" s="4">
        <v>882</v>
      </c>
      <c r="BB74" s="4">
        <v>940</v>
      </c>
      <c r="BC74" s="4">
        <v>952</v>
      </c>
      <c r="BD74" s="4">
        <v>930</v>
      </c>
      <c r="BE74" s="4">
        <v>935</v>
      </c>
      <c r="BF74" s="4">
        <v>998</v>
      </c>
      <c r="BG74" s="4">
        <v>1036</v>
      </c>
      <c r="BH74" s="4">
        <v>1108</v>
      </c>
      <c r="BI74" s="4">
        <f>419+720</f>
        <v>1139</v>
      </c>
      <c r="BJ74" s="4">
        <f>822+414</f>
        <v>1236</v>
      </c>
      <c r="BK74" s="4">
        <f>937+1047</f>
        <v>1984</v>
      </c>
      <c r="BL74" s="4">
        <f>1127+650</f>
        <v>1777</v>
      </c>
      <c r="BM74" s="4">
        <f>1120+561</f>
        <v>1681</v>
      </c>
      <c r="BN74" s="4">
        <f>592+1194</f>
        <v>1786</v>
      </c>
      <c r="BO74" s="4">
        <f>1228+654</f>
        <v>1882</v>
      </c>
      <c r="BP74" s="4">
        <f>1330+724</f>
        <v>2054</v>
      </c>
      <c r="BQ74" s="7">
        <f>657+1327</f>
        <v>1984</v>
      </c>
      <c r="BR74" s="7">
        <f>652+1424</f>
        <v>2076</v>
      </c>
      <c r="BS74" s="7">
        <v>2060</v>
      </c>
      <c r="BT74" s="7">
        <v>2192</v>
      </c>
      <c r="BU74" s="101">
        <v>2344</v>
      </c>
      <c r="BV74" s="101">
        <v>2542</v>
      </c>
      <c r="BW74" s="101">
        <v>2827</v>
      </c>
      <c r="BX74" s="101">
        <v>2836</v>
      </c>
      <c r="BY74" s="114">
        <v>2924</v>
      </c>
    </row>
    <row r="75" spans="1:77" ht="12.75" customHeight="1">
      <c r="A75" s="9" t="s">
        <v>71</v>
      </c>
      <c r="B75" s="89">
        <v>0.5552995391705069</v>
      </c>
      <c r="C75" s="85">
        <v>0.5858778625954199</v>
      </c>
      <c r="D75" s="25">
        <v>0.6018808777429467</v>
      </c>
      <c r="E75" s="25">
        <v>0.6101949025487257</v>
      </c>
      <c r="F75" s="25">
        <v>0.6184971098265896</v>
      </c>
      <c r="G75" s="25">
        <v>0.650137741046832</v>
      </c>
      <c r="H75" s="25">
        <v>0.6697247706422018</v>
      </c>
      <c r="I75" s="25">
        <v>0.6585648148148148</v>
      </c>
      <c r="J75" s="25">
        <v>0.6772277227722773</v>
      </c>
      <c r="K75" s="25">
        <v>0.6566037735849056</v>
      </c>
      <c r="L75" s="25">
        <v>0.6259351620947631</v>
      </c>
      <c r="M75" s="25">
        <v>0.6297142857142857</v>
      </c>
      <c r="N75" s="25">
        <v>0.6521252796420581</v>
      </c>
      <c r="O75" s="25">
        <v>0.6406926406926406</v>
      </c>
      <c r="P75" s="25">
        <v>0.6292517006802721</v>
      </c>
      <c r="Q75" s="17">
        <v>0.6528545119705341</v>
      </c>
      <c r="R75" s="17">
        <v>0.6286549707602339</v>
      </c>
      <c r="S75" s="61">
        <v>0.6549604916593503</v>
      </c>
      <c r="T75" s="17">
        <v>0.6260869565217392</v>
      </c>
      <c r="U75" s="17">
        <v>0.6278434940855323</v>
      </c>
      <c r="V75" s="17">
        <f t="shared" si="19"/>
        <v>0.6105640107430618</v>
      </c>
      <c r="W75" s="17">
        <f t="shared" si="20"/>
        <v>0.6172839506172839</v>
      </c>
      <c r="X75" s="17">
        <f t="shared" si="21"/>
        <v>0.633552014995314</v>
      </c>
      <c r="Y75" s="17">
        <f t="shared" si="22"/>
        <v>0.6212121212121212</v>
      </c>
      <c r="Z75" s="78">
        <f t="shared" si="23"/>
        <v>0.6406966086159487</v>
      </c>
      <c r="AA75" s="94">
        <v>241</v>
      </c>
      <c r="AB75" s="92">
        <v>307</v>
      </c>
      <c r="AC75" s="26">
        <v>384</v>
      </c>
      <c r="AD75" s="26">
        <v>407</v>
      </c>
      <c r="AE75" s="26">
        <v>428</v>
      </c>
      <c r="AF75" s="26">
        <v>472</v>
      </c>
      <c r="AG75" s="26">
        <v>511</v>
      </c>
      <c r="AH75" s="26">
        <v>569</v>
      </c>
      <c r="AI75" s="26">
        <v>684</v>
      </c>
      <c r="AJ75" s="26">
        <v>522</v>
      </c>
      <c r="AK75" s="26">
        <v>502</v>
      </c>
      <c r="AL75" s="26">
        <v>551</v>
      </c>
      <c r="AM75" s="26">
        <v>583</v>
      </c>
      <c r="AN75" s="26">
        <v>592</v>
      </c>
      <c r="AO75" s="26">
        <v>555</v>
      </c>
      <c r="AP75" s="26">
        <v>709</v>
      </c>
      <c r="AQ75" s="26">
        <v>645</v>
      </c>
      <c r="AR75" s="53">
        <v>746</v>
      </c>
      <c r="AS75" s="26">
        <v>720</v>
      </c>
      <c r="AT75" s="26">
        <v>690</v>
      </c>
      <c r="AU75" s="26">
        <v>682</v>
      </c>
      <c r="AV75" s="26">
        <v>700</v>
      </c>
      <c r="AW75" s="26">
        <v>676</v>
      </c>
      <c r="AX75" s="6">
        <v>656</v>
      </c>
      <c r="AY75" s="115">
        <v>699</v>
      </c>
      <c r="AZ75" s="106"/>
      <c r="BA75" s="4">
        <v>434</v>
      </c>
      <c r="BB75" s="4">
        <v>524</v>
      </c>
      <c r="BC75" s="4">
        <v>638</v>
      </c>
      <c r="BD75" s="4">
        <v>667</v>
      </c>
      <c r="BE75" s="4">
        <v>692</v>
      </c>
      <c r="BF75" s="4">
        <v>726</v>
      </c>
      <c r="BG75" s="4">
        <v>763</v>
      </c>
      <c r="BH75" s="4">
        <v>864</v>
      </c>
      <c r="BI75" s="4">
        <f>326+684</f>
        <v>1010</v>
      </c>
      <c r="BJ75" s="4">
        <f>522+273</f>
        <v>795</v>
      </c>
      <c r="BK75" s="4">
        <v>802</v>
      </c>
      <c r="BL75" s="4">
        <f>551+324</f>
        <v>875</v>
      </c>
      <c r="BM75" s="4">
        <f>311+583</f>
        <v>894</v>
      </c>
      <c r="BN75" s="4">
        <f>332+592</f>
        <v>924</v>
      </c>
      <c r="BO75" s="4">
        <f>327+555</f>
        <v>882</v>
      </c>
      <c r="BP75" s="4">
        <f>709+377</f>
        <v>1086</v>
      </c>
      <c r="BQ75" s="7">
        <f>381+645</f>
        <v>1026</v>
      </c>
      <c r="BR75" s="7">
        <f>746+393</f>
        <v>1139</v>
      </c>
      <c r="BS75" s="7">
        <v>1150</v>
      </c>
      <c r="BT75" s="7">
        <v>1099</v>
      </c>
      <c r="BU75" s="101">
        <v>1117</v>
      </c>
      <c r="BV75" s="101">
        <v>1134</v>
      </c>
      <c r="BW75" s="101">
        <v>1067</v>
      </c>
      <c r="BX75" s="101">
        <v>1056</v>
      </c>
      <c r="BY75" s="114">
        <v>1091</v>
      </c>
    </row>
    <row r="76" spans="1:77" ht="12.75" customHeight="1">
      <c r="A76" s="9" t="s">
        <v>72</v>
      </c>
      <c r="B76" s="89">
        <v>0.5996868475991649</v>
      </c>
      <c r="C76" s="85">
        <v>0.5752164502164502</v>
      </c>
      <c r="D76" s="25">
        <v>0.5971509971509972</v>
      </c>
      <c r="E76" s="25">
        <v>0.5785785785785785</v>
      </c>
      <c r="F76" s="25">
        <v>0.5782044042913608</v>
      </c>
      <c r="G76" s="25">
        <v>0.5847728726807422</v>
      </c>
      <c r="H76" s="25">
        <v>0.6160361377752682</v>
      </c>
      <c r="I76" s="25">
        <v>0.5733922434953362</v>
      </c>
      <c r="J76" s="25">
        <v>0.5565610859728507</v>
      </c>
      <c r="K76" s="25">
        <v>0.5709946848899012</v>
      </c>
      <c r="L76" s="25">
        <v>0.5306194690265487</v>
      </c>
      <c r="M76" s="25">
        <v>0.5839974497927957</v>
      </c>
      <c r="N76" s="25">
        <v>0.5710886377156454</v>
      </c>
      <c r="O76" s="25">
        <v>0.5994535519125683</v>
      </c>
      <c r="P76" s="25">
        <v>0.6161192639180061</v>
      </c>
      <c r="Q76" s="17">
        <v>0.6359649122807017</v>
      </c>
      <c r="R76" s="17">
        <v>0.6332947530864198</v>
      </c>
      <c r="S76" s="61">
        <v>0.6322900632803147</v>
      </c>
      <c r="T76" s="17">
        <v>0.5736459709379128</v>
      </c>
      <c r="U76" s="17">
        <v>0.6258144585789637</v>
      </c>
      <c r="V76" s="17">
        <f t="shared" si="19"/>
        <v>0.6035451794206658</v>
      </c>
      <c r="W76" s="17">
        <f t="shared" si="20"/>
        <v>0.6098494513906609</v>
      </c>
      <c r="X76" s="17">
        <f t="shared" si="21"/>
        <v>0.6184561810795125</v>
      </c>
      <c r="Y76" s="17">
        <f t="shared" si="22"/>
        <v>0.624614367562803</v>
      </c>
      <c r="Z76" s="78">
        <f t="shared" si="23"/>
        <v>0.6191076115485564</v>
      </c>
      <c r="AA76" s="94">
        <v>1149</v>
      </c>
      <c r="AB76" s="92">
        <v>1063</v>
      </c>
      <c r="AC76" s="26">
        <v>1048</v>
      </c>
      <c r="AD76" s="26">
        <v>1156</v>
      </c>
      <c r="AE76" s="26">
        <v>1024</v>
      </c>
      <c r="AF76" s="26">
        <v>914</v>
      </c>
      <c r="AG76" s="26">
        <v>1091</v>
      </c>
      <c r="AH76" s="26">
        <v>1168</v>
      </c>
      <c r="AI76" s="26">
        <v>1353</v>
      </c>
      <c r="AJ76" s="26">
        <v>1504</v>
      </c>
      <c r="AK76" s="26">
        <v>1499</v>
      </c>
      <c r="AL76" s="26">
        <v>1832</v>
      </c>
      <c r="AM76" s="26">
        <v>1920</v>
      </c>
      <c r="AN76" s="26">
        <v>2194</v>
      </c>
      <c r="AO76" s="26">
        <v>2645</v>
      </c>
      <c r="AP76" s="26">
        <v>3045</v>
      </c>
      <c r="AQ76" s="26">
        <v>3283</v>
      </c>
      <c r="AR76" s="53">
        <v>3697</v>
      </c>
      <c r="AS76" s="26">
        <v>3474</v>
      </c>
      <c r="AT76" s="26">
        <v>4034</v>
      </c>
      <c r="AU76" s="26">
        <v>4188</v>
      </c>
      <c r="AV76" s="26">
        <v>4780</v>
      </c>
      <c r="AW76" s="26">
        <v>5328</v>
      </c>
      <c r="AX76" s="6">
        <v>5669</v>
      </c>
      <c r="AY76" s="115">
        <v>5897</v>
      </c>
      <c r="AZ76" s="106"/>
      <c r="BA76" s="4">
        <v>1916</v>
      </c>
      <c r="BB76" s="4">
        <v>1848</v>
      </c>
      <c r="BC76" s="4">
        <v>1755</v>
      </c>
      <c r="BD76" s="4">
        <v>1998</v>
      </c>
      <c r="BE76" s="4">
        <v>1771</v>
      </c>
      <c r="BF76" s="4">
        <v>1563</v>
      </c>
      <c r="BG76" s="4">
        <v>1771</v>
      </c>
      <c r="BH76" s="4">
        <v>2037</v>
      </c>
      <c r="BI76" s="4">
        <f>1078+1353</f>
        <v>2431</v>
      </c>
      <c r="BJ76" s="4">
        <f>1130+1504</f>
        <v>2634</v>
      </c>
      <c r="BK76" s="4">
        <f>1499+1326</f>
        <v>2825</v>
      </c>
      <c r="BL76" s="4">
        <f>1305+1832</f>
        <v>3137</v>
      </c>
      <c r="BM76" s="4">
        <f>1920+1442</f>
        <v>3362</v>
      </c>
      <c r="BN76" s="4">
        <f>2194+1466</f>
        <v>3660</v>
      </c>
      <c r="BO76" s="4">
        <f>1648+2645</f>
        <v>4293</v>
      </c>
      <c r="BP76" s="4">
        <f>3045+1743</f>
        <v>4788</v>
      </c>
      <c r="BQ76" s="7">
        <f>3283+1901</f>
        <v>5184</v>
      </c>
      <c r="BR76" s="7">
        <f>3697+2150</f>
        <v>5847</v>
      </c>
      <c r="BS76" s="7">
        <v>6056</v>
      </c>
      <c r="BT76" s="7">
        <v>6446</v>
      </c>
      <c r="BU76" s="101">
        <v>6939</v>
      </c>
      <c r="BV76" s="101">
        <v>7838</v>
      </c>
      <c r="BW76" s="101">
        <v>8615</v>
      </c>
      <c r="BX76" s="101">
        <v>9076</v>
      </c>
      <c r="BY76" s="114">
        <v>9525</v>
      </c>
    </row>
    <row r="77" spans="1:77" ht="12.75" customHeight="1">
      <c r="A77" s="9" t="s">
        <v>73</v>
      </c>
      <c r="B77" s="89">
        <v>0.7559241706161137</v>
      </c>
      <c r="C77" s="85">
        <v>0.7124756335282652</v>
      </c>
      <c r="D77" s="25">
        <v>0.7071651090342679</v>
      </c>
      <c r="E77" s="25">
        <v>0.7219206680584551</v>
      </c>
      <c r="F77" s="25">
        <v>0.7084758646902318</v>
      </c>
      <c r="G77" s="25">
        <v>0.7262530669470733</v>
      </c>
      <c r="H77" s="25">
        <v>0.7143830947511929</v>
      </c>
      <c r="I77" s="25">
        <v>0.7025135221126313</v>
      </c>
      <c r="J77" s="25">
        <v>0.6976175931582163</v>
      </c>
      <c r="K77" s="25">
        <v>0.6920473773265652</v>
      </c>
      <c r="L77" s="25">
        <v>0.6775926921010209</v>
      </c>
      <c r="M77" s="25">
        <v>0.6902231668437833</v>
      </c>
      <c r="N77" s="25">
        <v>0.6928467153284672</v>
      </c>
      <c r="O77" s="25">
        <v>0.7066311426879811</v>
      </c>
      <c r="P77" s="25">
        <v>0.7061952440550688</v>
      </c>
      <c r="Q77" s="17">
        <v>0.7148936170212766</v>
      </c>
      <c r="R77" s="17">
        <v>0.7186784429178934</v>
      </c>
      <c r="S77" s="61">
        <v>0.7150326797385621</v>
      </c>
      <c r="T77" s="17">
        <v>0.7260229132569558</v>
      </c>
      <c r="U77" s="17">
        <v>0.7371916508538899</v>
      </c>
      <c r="V77" s="17">
        <f t="shared" si="19"/>
        <v>0.7427258805513017</v>
      </c>
      <c r="W77" s="17">
        <f t="shared" si="20"/>
        <v>0.757346258709482</v>
      </c>
      <c r="X77" s="17">
        <f t="shared" si="21"/>
        <v>0.7595541401273885</v>
      </c>
      <c r="Y77" s="17">
        <f t="shared" si="22"/>
        <v>0.7384424449270865</v>
      </c>
      <c r="Z77" s="78">
        <f t="shared" si="23"/>
        <v>0.7626762676267627</v>
      </c>
      <c r="AA77" s="94">
        <v>1276</v>
      </c>
      <c r="AB77" s="92">
        <v>1462</v>
      </c>
      <c r="AC77" s="26">
        <v>1589</v>
      </c>
      <c r="AD77" s="26">
        <v>1729</v>
      </c>
      <c r="AE77" s="26">
        <v>1864</v>
      </c>
      <c r="AF77" s="26">
        <v>2072</v>
      </c>
      <c r="AG77" s="26">
        <v>2096</v>
      </c>
      <c r="AH77" s="26">
        <v>2208</v>
      </c>
      <c r="AI77" s="26">
        <v>2284</v>
      </c>
      <c r="AJ77" s="26">
        <v>2454</v>
      </c>
      <c r="AK77" s="26">
        <v>2522</v>
      </c>
      <c r="AL77" s="26">
        <v>2598</v>
      </c>
      <c r="AM77" s="26">
        <v>2373</v>
      </c>
      <c r="AN77" s="26">
        <v>2387</v>
      </c>
      <c r="AO77" s="26">
        <v>2257</v>
      </c>
      <c r="AP77" s="26">
        <v>2184</v>
      </c>
      <c r="AQ77" s="26">
        <v>2197</v>
      </c>
      <c r="AR77" s="53">
        <v>2188</v>
      </c>
      <c r="AS77" s="26">
        <v>2218</v>
      </c>
      <c r="AT77" s="26">
        <v>2331</v>
      </c>
      <c r="AU77" s="26">
        <v>2425</v>
      </c>
      <c r="AV77" s="26">
        <v>2500</v>
      </c>
      <c r="AW77" s="26">
        <v>2385</v>
      </c>
      <c r="AX77" s="6">
        <v>2380</v>
      </c>
      <c r="AY77" s="115">
        <v>2542</v>
      </c>
      <c r="AZ77" s="106"/>
      <c r="BA77" s="4">
        <v>1688</v>
      </c>
      <c r="BB77" s="4">
        <v>2052</v>
      </c>
      <c r="BC77" s="4">
        <v>2247</v>
      </c>
      <c r="BD77" s="4">
        <v>2395</v>
      </c>
      <c r="BE77" s="4">
        <v>2631</v>
      </c>
      <c r="BF77" s="4">
        <v>2853</v>
      </c>
      <c r="BG77" s="4">
        <v>2934</v>
      </c>
      <c r="BH77" s="4">
        <v>3143</v>
      </c>
      <c r="BI77" s="4">
        <f>990+2284</f>
        <v>3274</v>
      </c>
      <c r="BJ77" s="4">
        <f>1092+2454</f>
        <v>3546</v>
      </c>
      <c r="BK77" s="4">
        <v>3722</v>
      </c>
      <c r="BL77" s="4">
        <f>1166+2598</f>
        <v>3764</v>
      </c>
      <c r="BM77" s="4">
        <f>1052+2373</f>
        <v>3425</v>
      </c>
      <c r="BN77" s="4">
        <f>2387+991</f>
        <v>3378</v>
      </c>
      <c r="BO77" s="4">
        <f>2257+939</f>
        <v>3196</v>
      </c>
      <c r="BP77" s="4">
        <v>3055</v>
      </c>
      <c r="BQ77" s="7">
        <f>2197+860</f>
        <v>3057</v>
      </c>
      <c r="BR77" s="7">
        <f>2188+872</f>
        <v>3060</v>
      </c>
      <c r="BS77" s="7">
        <v>3055</v>
      </c>
      <c r="BT77" s="7">
        <v>3162</v>
      </c>
      <c r="BU77" s="101">
        <v>3265</v>
      </c>
      <c r="BV77" s="101">
        <v>3301</v>
      </c>
      <c r="BW77" s="101">
        <v>3140</v>
      </c>
      <c r="BX77" s="101">
        <v>3223</v>
      </c>
      <c r="BY77" s="114">
        <v>3333</v>
      </c>
    </row>
    <row r="78" spans="1:77" ht="12.75" customHeight="1">
      <c r="A78" s="9" t="s">
        <v>74</v>
      </c>
      <c r="B78" s="89">
        <v>0.5342465753424658</v>
      </c>
      <c r="C78" s="85">
        <v>0.48066298342541436</v>
      </c>
      <c r="D78" s="25">
        <v>0.5063025210084033</v>
      </c>
      <c r="E78" s="25">
        <v>0.36973180076628354</v>
      </c>
      <c r="F78" s="25">
        <v>0.5771144278606966</v>
      </c>
      <c r="G78" s="25">
        <v>0.5640138408304498</v>
      </c>
      <c r="H78" s="25">
        <v>0.5830388692579506</v>
      </c>
      <c r="I78" s="25">
        <v>0.5784883720930233</v>
      </c>
      <c r="J78" s="25">
        <v>0.5845136921624173</v>
      </c>
      <c r="K78" s="25">
        <v>0.612876254180602</v>
      </c>
      <c r="L78" s="25">
        <v>0.6065808297567954</v>
      </c>
      <c r="M78" s="25">
        <v>0.622716894977169</v>
      </c>
      <c r="N78" s="25">
        <v>0.6204913748039729</v>
      </c>
      <c r="O78" s="25">
        <v>0.6005497022446175</v>
      </c>
      <c r="P78" s="25">
        <v>0.6194799834915394</v>
      </c>
      <c r="Q78" s="17">
        <v>0.621294363256785</v>
      </c>
      <c r="R78" s="17">
        <v>0.6502209131075111</v>
      </c>
      <c r="S78" s="61">
        <v>0.6455951580363147</v>
      </c>
      <c r="T78" s="17">
        <v>0.6475409836065574</v>
      </c>
      <c r="U78" s="17">
        <v>0.6515297906602254</v>
      </c>
      <c r="V78" s="17">
        <f t="shared" si="19"/>
        <v>0.6601880877742947</v>
      </c>
      <c r="W78" s="17">
        <f t="shared" si="20"/>
        <v>0.6466083150984683</v>
      </c>
      <c r="X78" s="17">
        <f t="shared" si="21"/>
        <v>0.6288812222769837</v>
      </c>
      <c r="Y78" s="17">
        <f t="shared" si="22"/>
        <v>0.6251121076233184</v>
      </c>
      <c r="Z78" s="78">
        <f t="shared" si="23"/>
        <v>0.6408778541343383</v>
      </c>
      <c r="AA78" s="94">
        <v>234</v>
      </c>
      <c r="AB78" s="92">
        <v>261</v>
      </c>
      <c r="AC78" s="26">
        <v>241</v>
      </c>
      <c r="AD78" s="26">
        <v>193</v>
      </c>
      <c r="AE78" s="26">
        <v>348</v>
      </c>
      <c r="AF78" s="26">
        <v>489</v>
      </c>
      <c r="AG78" s="26">
        <v>495</v>
      </c>
      <c r="AH78" s="26">
        <v>597</v>
      </c>
      <c r="AI78" s="26">
        <v>619</v>
      </c>
      <c r="AJ78" s="26">
        <v>733</v>
      </c>
      <c r="AK78" s="26">
        <v>848</v>
      </c>
      <c r="AL78" s="26">
        <v>1091</v>
      </c>
      <c r="AM78" s="26">
        <v>1187</v>
      </c>
      <c r="AN78" s="26">
        <v>1311</v>
      </c>
      <c r="AO78" s="26">
        <v>1501</v>
      </c>
      <c r="AP78" s="26">
        <v>1488</v>
      </c>
      <c r="AQ78" s="26">
        <f>8+123+4+13+12+1544+62</f>
        <v>1766</v>
      </c>
      <c r="AR78" s="53">
        <v>1920</v>
      </c>
      <c r="AS78" s="26">
        <v>1817</v>
      </c>
      <c r="AT78" s="26">
        <v>2023</v>
      </c>
      <c r="AU78" s="26">
        <v>2106</v>
      </c>
      <c r="AV78" s="26">
        <v>2364</v>
      </c>
      <c r="AW78" s="26">
        <v>2552</v>
      </c>
      <c r="AX78" s="6">
        <v>2788</v>
      </c>
      <c r="AY78" s="115">
        <v>2891</v>
      </c>
      <c r="AZ78" s="106"/>
      <c r="BA78" s="4">
        <v>438</v>
      </c>
      <c r="BB78" s="4">
        <v>543</v>
      </c>
      <c r="BC78" s="4">
        <v>476</v>
      </c>
      <c r="BD78" s="4">
        <v>522</v>
      </c>
      <c r="BE78" s="4">
        <v>603</v>
      </c>
      <c r="BF78" s="4">
        <v>867</v>
      </c>
      <c r="BG78" s="4">
        <v>849</v>
      </c>
      <c r="BH78" s="4">
        <v>1032</v>
      </c>
      <c r="BI78" s="4">
        <v>1059</v>
      </c>
      <c r="BJ78" s="4">
        <v>1196</v>
      </c>
      <c r="BK78" s="4">
        <f>848+550</f>
        <v>1398</v>
      </c>
      <c r="BL78" s="4">
        <f>1091+661</f>
        <v>1752</v>
      </c>
      <c r="BM78" s="4">
        <f>1187+726</f>
        <v>1913</v>
      </c>
      <c r="BN78" s="4">
        <f>1311+872</f>
        <v>2183</v>
      </c>
      <c r="BO78" s="4">
        <f>922+1501</f>
        <v>2423</v>
      </c>
      <c r="BP78" s="4">
        <f>1488+907</f>
        <v>2395</v>
      </c>
      <c r="BQ78" s="7">
        <f>12+8+86+123+4+14+13+22+797+1544+31+62</f>
        <v>2716</v>
      </c>
      <c r="BR78" s="7">
        <f>1920+1054</f>
        <v>2974</v>
      </c>
      <c r="BS78" s="7">
        <v>2806</v>
      </c>
      <c r="BT78" s="7">
        <v>3105</v>
      </c>
      <c r="BU78" s="101">
        <v>3190</v>
      </c>
      <c r="BV78" s="101">
        <v>3656</v>
      </c>
      <c r="BW78" s="101">
        <v>4058</v>
      </c>
      <c r="BX78" s="101">
        <v>4460</v>
      </c>
      <c r="BY78" s="114">
        <v>4511</v>
      </c>
    </row>
    <row r="79" spans="1:77" ht="12.75" customHeight="1">
      <c r="A79" s="9" t="s">
        <v>75</v>
      </c>
      <c r="B79" s="89">
        <v>0.3921161825726141</v>
      </c>
      <c r="C79" s="85">
        <v>0.4068627450980392</v>
      </c>
      <c r="D79" s="25">
        <v>0.403470715835141</v>
      </c>
      <c r="E79" s="25">
        <v>0.3897707231040564</v>
      </c>
      <c r="F79" s="25">
        <v>0.4292803970223325</v>
      </c>
      <c r="G79" s="25">
        <v>0.4861111111111111</v>
      </c>
      <c r="H79" s="25">
        <v>0.45276595744680853</v>
      </c>
      <c r="I79" s="25">
        <v>0.4180118946474087</v>
      </c>
      <c r="J79" s="25">
        <v>0.43738140417457305</v>
      </c>
      <c r="K79" s="25">
        <v>0.3839622641509434</v>
      </c>
      <c r="L79" s="25">
        <v>0.39246861924686194</v>
      </c>
      <c r="M79" s="25">
        <v>0.41964285714285715</v>
      </c>
      <c r="N79" s="25">
        <v>0.40786430223592907</v>
      </c>
      <c r="O79" s="25">
        <v>0.43915343915343913</v>
      </c>
      <c r="P79" s="25">
        <v>0.40702781844802344</v>
      </c>
      <c r="Q79" s="17">
        <v>0.40384615384615385</v>
      </c>
      <c r="R79" s="17">
        <v>0.4165029469548134</v>
      </c>
      <c r="S79" s="61">
        <v>0.4305732484076433</v>
      </c>
      <c r="T79" s="17">
        <v>0.42479018721755973</v>
      </c>
      <c r="U79" s="17">
        <v>0.42168674698795183</v>
      </c>
      <c r="V79" s="17">
        <f t="shared" si="19"/>
        <v>0.440625</v>
      </c>
      <c r="W79" s="17">
        <f t="shared" si="20"/>
        <v>0.4652307692307692</v>
      </c>
      <c r="X79" s="17">
        <f t="shared" si="21"/>
        <v>0.46261398176291796</v>
      </c>
      <c r="Y79" s="17">
        <f t="shared" si="22"/>
        <v>0.4455324357405141</v>
      </c>
      <c r="Z79" s="78">
        <f t="shared" si="23"/>
        <v>0.45143212951432127</v>
      </c>
      <c r="AA79" s="94">
        <v>189</v>
      </c>
      <c r="AB79" s="92">
        <v>166</v>
      </c>
      <c r="AC79" s="26">
        <v>186</v>
      </c>
      <c r="AD79" s="26">
        <v>221</v>
      </c>
      <c r="AE79" s="26">
        <v>346</v>
      </c>
      <c r="AF79" s="26">
        <v>630</v>
      </c>
      <c r="AG79" s="26">
        <v>532</v>
      </c>
      <c r="AH79" s="26">
        <v>492</v>
      </c>
      <c r="AI79" s="26">
        <v>461</v>
      </c>
      <c r="AJ79" s="26">
        <v>407</v>
      </c>
      <c r="AK79" s="26">
        <v>469</v>
      </c>
      <c r="AL79" s="26">
        <v>517</v>
      </c>
      <c r="AM79" s="26">
        <v>529</v>
      </c>
      <c r="AN79" s="26">
        <v>581</v>
      </c>
      <c r="AO79" s="26">
        <v>556</v>
      </c>
      <c r="AP79" s="26">
        <v>567</v>
      </c>
      <c r="AQ79" s="26">
        <v>636</v>
      </c>
      <c r="AR79" s="53">
        <v>676</v>
      </c>
      <c r="AS79" s="26">
        <v>658</v>
      </c>
      <c r="AT79" s="26">
        <v>665</v>
      </c>
      <c r="AU79" s="26">
        <v>705</v>
      </c>
      <c r="AV79" s="26">
        <v>756</v>
      </c>
      <c r="AW79" s="26">
        <v>761</v>
      </c>
      <c r="AX79" s="6">
        <v>728</v>
      </c>
      <c r="AY79" s="115">
        <v>725</v>
      </c>
      <c r="AZ79" s="106"/>
      <c r="BA79" s="4">
        <v>482</v>
      </c>
      <c r="BB79" s="4">
        <v>408</v>
      </c>
      <c r="BC79" s="4">
        <v>461</v>
      </c>
      <c r="BD79" s="4">
        <v>567</v>
      </c>
      <c r="BE79" s="4">
        <v>806</v>
      </c>
      <c r="BF79" s="4">
        <v>1296</v>
      </c>
      <c r="BG79" s="4">
        <v>1175</v>
      </c>
      <c r="BH79" s="4">
        <v>1177</v>
      </c>
      <c r="BI79" s="4">
        <f>461+593</f>
        <v>1054</v>
      </c>
      <c r="BJ79" s="4">
        <f>407+653</f>
        <v>1060</v>
      </c>
      <c r="BK79" s="4">
        <f>469+726</f>
        <v>1195</v>
      </c>
      <c r="BL79" s="4">
        <f>715+517</f>
        <v>1232</v>
      </c>
      <c r="BM79" s="4">
        <f>768+529</f>
        <v>1297</v>
      </c>
      <c r="BN79" s="4">
        <f>742+581</f>
        <v>1323</v>
      </c>
      <c r="BO79" s="4">
        <f>810+556</f>
        <v>1366</v>
      </c>
      <c r="BP79" s="4">
        <f>567+837</f>
        <v>1404</v>
      </c>
      <c r="BQ79" s="7">
        <f>891+636</f>
        <v>1527</v>
      </c>
      <c r="BR79" s="7">
        <f>676+894</f>
        <v>1570</v>
      </c>
      <c r="BS79" s="7">
        <v>1549</v>
      </c>
      <c r="BT79" s="7">
        <v>1577</v>
      </c>
      <c r="BU79" s="101">
        <v>1600</v>
      </c>
      <c r="BV79" s="101">
        <v>1625</v>
      </c>
      <c r="BW79" s="101">
        <v>1645</v>
      </c>
      <c r="BX79" s="101">
        <v>1634</v>
      </c>
      <c r="BY79" s="114">
        <v>1606</v>
      </c>
    </row>
    <row r="80" spans="1:77" ht="12.75" customHeight="1">
      <c r="A80" s="9" t="s">
        <v>76</v>
      </c>
      <c r="B80" s="89">
        <v>0.2881132696740204</v>
      </c>
      <c r="C80" s="85">
        <v>0.31342345174473435</v>
      </c>
      <c r="D80" s="25">
        <v>0.28113553113553114</v>
      </c>
      <c r="E80" s="25">
        <v>0.3318373071528752</v>
      </c>
      <c r="F80" s="25">
        <v>0.35072391412880677</v>
      </c>
      <c r="G80" s="25">
        <v>0.3510744627686157</v>
      </c>
      <c r="H80" s="25">
        <v>0.30025125628140703</v>
      </c>
      <c r="I80" s="25">
        <v>0.39851607584501236</v>
      </c>
      <c r="J80" s="25">
        <v>0.37492537313432833</v>
      </c>
      <c r="K80" s="25">
        <v>0.375968992248062</v>
      </c>
      <c r="L80" s="25">
        <v>0.3987323113207547</v>
      </c>
      <c r="M80" s="25">
        <v>0.38672640716886025</v>
      </c>
      <c r="N80" s="25">
        <v>0.409648082245947</v>
      </c>
      <c r="O80" s="25">
        <v>0.456847467785436</v>
      </c>
      <c r="P80" s="25">
        <v>0.4642903773338556</v>
      </c>
      <c r="Q80" s="17">
        <v>0.4624181060154854</v>
      </c>
      <c r="R80" s="17">
        <v>0.46502153416365966</v>
      </c>
      <c r="S80" s="61">
        <v>0.47384579053016884</v>
      </c>
      <c r="T80" s="17">
        <v>0.47804402038382304</v>
      </c>
      <c r="U80" s="17">
        <v>0.48744990508331576</v>
      </c>
      <c r="V80" s="17">
        <f t="shared" si="19"/>
        <v>0.5040007902795614</v>
      </c>
      <c r="W80" s="17">
        <f t="shared" si="20"/>
        <v>0.4820525783619818</v>
      </c>
      <c r="X80" s="17">
        <f t="shared" si="21"/>
        <v>0.4731431303793433</v>
      </c>
      <c r="Y80" s="17">
        <f t="shared" si="22"/>
        <v>0.48441862219874743</v>
      </c>
      <c r="Z80" s="78">
        <f t="shared" si="23"/>
        <v>0.48573812774996206</v>
      </c>
      <c r="AA80" s="94">
        <v>875</v>
      </c>
      <c r="AB80" s="92">
        <v>997</v>
      </c>
      <c r="AC80" s="26">
        <v>921</v>
      </c>
      <c r="AD80" s="26">
        <v>1183</v>
      </c>
      <c r="AE80" s="26">
        <v>1405</v>
      </c>
      <c r="AF80" s="26">
        <v>1405</v>
      </c>
      <c r="AG80" s="26">
        <v>478</v>
      </c>
      <c r="AH80" s="26">
        <v>2417</v>
      </c>
      <c r="AI80" s="26">
        <v>2512</v>
      </c>
      <c r="AJ80" s="26">
        <v>2425</v>
      </c>
      <c r="AK80" s="26">
        <v>2705</v>
      </c>
      <c r="AL80" s="26">
        <v>2762</v>
      </c>
      <c r="AM80" s="26">
        <v>3108</v>
      </c>
      <c r="AN80" s="26">
        <v>3049</v>
      </c>
      <c r="AO80" s="26">
        <v>3556</v>
      </c>
      <c r="AP80" s="26">
        <v>3882</v>
      </c>
      <c r="AQ80" s="26">
        <v>3995</v>
      </c>
      <c r="AR80" s="53">
        <v>4013</v>
      </c>
      <c r="AS80" s="26">
        <v>4409</v>
      </c>
      <c r="AT80" s="26">
        <v>4622</v>
      </c>
      <c r="AU80" s="26">
        <v>5102</v>
      </c>
      <c r="AV80" s="26">
        <v>5721</v>
      </c>
      <c r="AW80" s="26">
        <v>5937</v>
      </c>
      <c r="AX80" s="6">
        <v>6420</v>
      </c>
      <c r="AY80" s="115">
        <v>6403</v>
      </c>
      <c r="AZ80" s="106"/>
      <c r="BA80" s="4">
        <v>3037</v>
      </c>
      <c r="BB80" s="4">
        <v>3181</v>
      </c>
      <c r="BC80" s="4">
        <v>3276</v>
      </c>
      <c r="BD80" s="4">
        <v>3565</v>
      </c>
      <c r="BE80" s="4">
        <v>4006</v>
      </c>
      <c r="BF80" s="4">
        <v>4002</v>
      </c>
      <c r="BG80" s="4">
        <v>1592</v>
      </c>
      <c r="BH80" s="4">
        <v>6065</v>
      </c>
      <c r="BI80" s="4">
        <f>3638+3062</f>
        <v>6700</v>
      </c>
      <c r="BJ80" s="4">
        <f>2425+4025</f>
        <v>6450</v>
      </c>
      <c r="BK80" s="4">
        <f>4079+2705</f>
        <v>6784</v>
      </c>
      <c r="BL80" s="4">
        <f>2762+4380</f>
        <v>7142</v>
      </c>
      <c r="BM80" s="4">
        <f>3108+4479</f>
        <v>7587</v>
      </c>
      <c r="BN80" s="4">
        <f>3049+3625</f>
        <v>6674</v>
      </c>
      <c r="BO80" s="4">
        <f>3556+4103</f>
        <v>7659</v>
      </c>
      <c r="BP80" s="4">
        <f>3787+4608</f>
        <v>8395</v>
      </c>
      <c r="BQ80" s="7">
        <f>3995+4596</f>
        <v>8591</v>
      </c>
      <c r="BR80" s="7">
        <f>4013+4456</f>
        <v>8469</v>
      </c>
      <c r="BS80" s="7">
        <v>9223</v>
      </c>
      <c r="BT80" s="7">
        <v>9482</v>
      </c>
      <c r="BU80" s="101">
        <v>10123</v>
      </c>
      <c r="BV80" s="101">
        <v>11868</v>
      </c>
      <c r="BW80" s="101">
        <v>12548</v>
      </c>
      <c r="BX80" s="101">
        <v>13253</v>
      </c>
      <c r="BY80" s="114">
        <v>13182</v>
      </c>
    </row>
    <row r="81" spans="1:77" ht="12.75" customHeight="1">
      <c r="A81" s="9" t="s">
        <v>77</v>
      </c>
      <c r="B81" s="89">
        <v>0.5037890269778721</v>
      </c>
      <c r="C81" s="85">
        <v>0.5206267988487369</v>
      </c>
      <c r="D81" s="25">
        <v>0.5200418264203556</v>
      </c>
      <c r="E81" s="25">
        <v>0.5006925207756233</v>
      </c>
      <c r="F81" s="25">
        <v>0.5247029393370857</v>
      </c>
      <c r="G81" s="25">
        <v>0.50912</v>
      </c>
      <c r="H81" s="25">
        <v>0.51968</v>
      </c>
      <c r="I81" s="25">
        <v>0.5291400142146411</v>
      </c>
      <c r="J81" s="25">
        <v>0.5245901639344263</v>
      </c>
      <c r="K81" s="25">
        <v>0.5435097897026832</v>
      </c>
      <c r="L81" s="25">
        <v>0.5423209498276522</v>
      </c>
      <c r="M81" s="25">
        <v>0.5634184068058778</v>
      </c>
      <c r="N81" s="25">
        <v>0.5726109857035365</v>
      </c>
      <c r="O81" s="25">
        <v>0.5516285516285516</v>
      </c>
      <c r="P81" s="25">
        <v>0.5450104675505931</v>
      </c>
      <c r="Q81" s="17">
        <v>0.5497851002865329</v>
      </c>
      <c r="R81" s="17">
        <v>0.5419287211740041</v>
      </c>
      <c r="S81" s="61">
        <v>0.5668358714043993</v>
      </c>
      <c r="T81" s="17">
        <v>0.5628896222955629</v>
      </c>
      <c r="U81" s="17">
        <v>0.5421245421245421</v>
      </c>
      <c r="V81" s="17">
        <f t="shared" si="19"/>
        <v>0.5466898954703833</v>
      </c>
      <c r="W81" s="17">
        <f t="shared" si="20"/>
        <v>0.5569620253164557</v>
      </c>
      <c r="X81" s="17">
        <f t="shared" si="21"/>
        <v>0.5757685352622062</v>
      </c>
      <c r="Y81" s="17">
        <f t="shared" si="22"/>
        <v>0.5815217391304348</v>
      </c>
      <c r="Z81" s="78">
        <f t="shared" si="23"/>
        <v>0.5874103065883888</v>
      </c>
      <c r="AA81" s="94">
        <v>1662</v>
      </c>
      <c r="AB81" s="92">
        <v>1628</v>
      </c>
      <c r="AC81" s="26">
        <v>1492</v>
      </c>
      <c r="AD81" s="26">
        <v>1446</v>
      </c>
      <c r="AE81" s="26">
        <v>1678</v>
      </c>
      <c r="AF81" s="26">
        <v>1591</v>
      </c>
      <c r="AG81" s="26">
        <v>1624</v>
      </c>
      <c r="AH81" s="26">
        <v>1489</v>
      </c>
      <c r="AI81" s="26">
        <v>1472</v>
      </c>
      <c r="AJ81" s="26">
        <v>1499</v>
      </c>
      <c r="AK81" s="26">
        <v>1416</v>
      </c>
      <c r="AL81" s="26">
        <v>1457</v>
      </c>
      <c r="AM81" s="26">
        <v>1522</v>
      </c>
      <c r="AN81" s="26">
        <v>1592</v>
      </c>
      <c r="AO81" s="26">
        <v>1562</v>
      </c>
      <c r="AP81" s="26">
        <v>1535</v>
      </c>
      <c r="AQ81" s="26">
        <v>1551</v>
      </c>
      <c r="AR81" s="53">
        <v>1675</v>
      </c>
      <c r="AS81" s="26">
        <v>1535</v>
      </c>
      <c r="AT81" s="26">
        <v>1480</v>
      </c>
      <c r="AU81" s="26">
        <v>1569</v>
      </c>
      <c r="AV81" s="26">
        <v>1540</v>
      </c>
      <c r="AW81" s="26">
        <v>1592</v>
      </c>
      <c r="AX81" s="6">
        <v>1712</v>
      </c>
      <c r="AY81" s="115">
        <v>1801</v>
      </c>
      <c r="AZ81" s="106"/>
      <c r="BA81" s="4">
        <v>3299</v>
      </c>
      <c r="BB81" s="4">
        <v>3127</v>
      </c>
      <c r="BC81" s="4">
        <v>2869</v>
      </c>
      <c r="BD81" s="4">
        <v>2888</v>
      </c>
      <c r="BE81" s="4">
        <v>3198</v>
      </c>
      <c r="BF81" s="4">
        <v>3125</v>
      </c>
      <c r="BG81" s="4">
        <v>3125</v>
      </c>
      <c r="BH81" s="4">
        <v>2814</v>
      </c>
      <c r="BI81" s="4">
        <f>1472+1334</f>
        <v>2806</v>
      </c>
      <c r="BJ81" s="4">
        <f>1259+1499</f>
        <v>2758</v>
      </c>
      <c r="BK81" s="4">
        <f>1416+1195</f>
        <v>2611</v>
      </c>
      <c r="BL81" s="4">
        <f>1457+1129</f>
        <v>2586</v>
      </c>
      <c r="BM81" s="4">
        <f>1522+1136</f>
        <v>2658</v>
      </c>
      <c r="BN81" s="4">
        <f>1294+1592</f>
        <v>2886</v>
      </c>
      <c r="BO81" s="4">
        <f>1562+1304</f>
        <v>2866</v>
      </c>
      <c r="BP81" s="4">
        <f>1535+1257</f>
        <v>2792</v>
      </c>
      <c r="BQ81" s="7">
        <f>1551+1311</f>
        <v>2862</v>
      </c>
      <c r="BR81" s="7">
        <f>1280+1675</f>
        <v>2955</v>
      </c>
      <c r="BS81" s="7">
        <v>2727</v>
      </c>
      <c r="BT81" s="7">
        <v>2730</v>
      </c>
      <c r="BU81" s="101">
        <v>2870</v>
      </c>
      <c r="BV81" s="101">
        <v>2765</v>
      </c>
      <c r="BW81" s="101">
        <v>2765</v>
      </c>
      <c r="BX81" s="101">
        <v>2944</v>
      </c>
      <c r="BY81" s="114">
        <v>3066</v>
      </c>
    </row>
    <row r="82" spans="1:77" ht="12.75" customHeight="1">
      <c r="A82" s="9" t="s">
        <v>78</v>
      </c>
      <c r="B82" s="89">
        <v>0.5140497640497641</v>
      </c>
      <c r="C82" s="85">
        <v>0.5179076343072573</v>
      </c>
      <c r="D82" s="25">
        <v>0.5229368507061982</v>
      </c>
      <c r="E82" s="25">
        <v>0.5327573794096472</v>
      </c>
      <c r="F82" s="25">
        <v>0.5354944604021338</v>
      </c>
      <c r="G82" s="25">
        <v>0.5331138803981503</v>
      </c>
      <c r="H82" s="25">
        <v>0.5402396598376498</v>
      </c>
      <c r="I82" s="25">
        <v>0.5014123153902026</v>
      </c>
      <c r="J82" s="25">
        <v>0.5379187344913151</v>
      </c>
      <c r="K82" s="25">
        <v>0.5053070261118708</v>
      </c>
      <c r="L82" s="25">
        <v>0.5148120145714482</v>
      </c>
      <c r="M82" s="25">
        <v>0.5608352394303844</v>
      </c>
      <c r="N82" s="25">
        <v>0.5647075959507684</v>
      </c>
      <c r="O82" s="25">
        <v>0.5682440939050581</v>
      </c>
      <c r="P82" s="25">
        <v>0.5656460044809559</v>
      </c>
      <c r="Q82" s="17">
        <v>0.554431091432989</v>
      </c>
      <c r="R82" s="17">
        <v>0.5651441801725953</v>
      </c>
      <c r="S82" s="61">
        <v>0.5669179348599062</v>
      </c>
      <c r="T82" s="17">
        <v>0.5674153246190511</v>
      </c>
      <c r="U82" s="17">
        <v>0.5672237834639846</v>
      </c>
      <c r="V82" s="17">
        <f t="shared" si="19"/>
        <v>0.566766638103399</v>
      </c>
      <c r="W82" s="17">
        <f t="shared" si="20"/>
        <v>0.5642291116363131</v>
      </c>
      <c r="X82" s="17">
        <f t="shared" si="21"/>
        <v>0.5730978074094439</v>
      </c>
      <c r="Y82" s="17">
        <f t="shared" si="22"/>
        <v>0.5752372043298143</v>
      </c>
      <c r="Z82" s="78">
        <f t="shared" si="23"/>
        <v>0.5821977579378398</v>
      </c>
      <c r="AA82" s="94">
        <v>4793</v>
      </c>
      <c r="AB82" s="92">
        <v>4396</v>
      </c>
      <c r="AC82" s="26">
        <v>4480</v>
      </c>
      <c r="AD82" s="26">
        <v>4440</v>
      </c>
      <c r="AE82" s="26">
        <v>6525</v>
      </c>
      <c r="AF82" s="26">
        <v>6802</v>
      </c>
      <c r="AG82" s="26">
        <v>6988</v>
      </c>
      <c r="AH82" s="26">
        <v>6213</v>
      </c>
      <c r="AI82" s="26">
        <v>6937</v>
      </c>
      <c r="AJ82" s="26">
        <v>7760</v>
      </c>
      <c r="AK82" s="26">
        <v>7490</v>
      </c>
      <c r="AL82" s="26">
        <v>7601</v>
      </c>
      <c r="AM82" s="26">
        <v>7754</v>
      </c>
      <c r="AN82" s="26">
        <v>7673</v>
      </c>
      <c r="AO82" s="26">
        <v>7574</v>
      </c>
      <c r="AP82" s="26">
        <v>7889</v>
      </c>
      <c r="AQ82" s="26">
        <v>8055</v>
      </c>
      <c r="AR82" s="53">
        <v>7972</v>
      </c>
      <c r="AS82" s="26">
        <v>7857</v>
      </c>
      <c r="AT82" s="26">
        <v>7670</v>
      </c>
      <c r="AU82" s="26">
        <v>7937</v>
      </c>
      <c r="AV82" s="26">
        <v>8117</v>
      </c>
      <c r="AW82" s="26">
        <v>8338</v>
      </c>
      <c r="AX82" s="6">
        <v>8609</v>
      </c>
      <c r="AY82" s="115">
        <v>8673</v>
      </c>
      <c r="AZ82" s="106"/>
      <c r="BA82" s="4">
        <v>9324</v>
      </c>
      <c r="BB82" s="4">
        <v>8488</v>
      </c>
      <c r="BC82" s="4">
        <v>8567</v>
      </c>
      <c r="BD82" s="4">
        <v>8334</v>
      </c>
      <c r="BE82" s="4">
        <v>12185</v>
      </c>
      <c r="BF82" s="4">
        <v>12759</v>
      </c>
      <c r="BG82" s="4">
        <v>12935</v>
      </c>
      <c r="BH82" s="4">
        <v>12391</v>
      </c>
      <c r="BI82" s="4">
        <f>5959+6937</f>
        <v>12896</v>
      </c>
      <c r="BJ82" s="4">
        <f>7760+7597</f>
        <v>15357</v>
      </c>
      <c r="BK82" s="4">
        <f>7490+7059</f>
        <v>14549</v>
      </c>
      <c r="BL82" s="4">
        <f>5952+7601</f>
        <v>13553</v>
      </c>
      <c r="BM82" s="4">
        <v>13731</v>
      </c>
      <c r="BN82" s="4">
        <f>7673+5830</f>
        <v>13503</v>
      </c>
      <c r="BO82" s="4">
        <f>7574+5816</f>
        <v>13390</v>
      </c>
      <c r="BP82" s="4">
        <f>7889+6340</f>
        <v>14229</v>
      </c>
      <c r="BQ82" s="7">
        <f>6198+8055</f>
        <v>14253</v>
      </c>
      <c r="BR82" s="7">
        <f>7972+6090</f>
        <v>14062</v>
      </c>
      <c r="BS82" s="7">
        <v>13847</v>
      </c>
      <c r="BT82" s="7">
        <v>13522</v>
      </c>
      <c r="BU82" s="101">
        <v>14004</v>
      </c>
      <c r="BV82" s="101">
        <v>14386</v>
      </c>
      <c r="BW82" s="101">
        <v>14549</v>
      </c>
      <c r="BX82" s="101">
        <v>14966</v>
      </c>
      <c r="BY82" s="114">
        <v>14897</v>
      </c>
    </row>
    <row r="83" spans="1:77" ht="12.75" customHeight="1">
      <c r="A83" s="9" t="s">
        <v>79</v>
      </c>
      <c r="B83" s="97" t="s">
        <v>42</v>
      </c>
      <c r="C83" s="85">
        <v>0.5242236024844721</v>
      </c>
      <c r="D83" s="25">
        <v>0.52715837621498</v>
      </c>
      <c r="E83" s="25">
        <v>0.5227675931401538</v>
      </c>
      <c r="F83" s="25">
        <v>0.5272435897435898</v>
      </c>
      <c r="G83" s="25">
        <v>0.5429515418502202</v>
      </c>
      <c r="H83" s="25">
        <v>0.5419847328244275</v>
      </c>
      <c r="I83" s="25">
        <v>0.6428082191780822</v>
      </c>
      <c r="J83" s="25">
        <v>0.6465809072444143</v>
      </c>
      <c r="K83" s="25">
        <v>0.6422458062307429</v>
      </c>
      <c r="L83" s="25">
        <v>0.6537091026886945</v>
      </c>
      <c r="M83" s="25">
        <v>0.6677295918367347</v>
      </c>
      <c r="N83" s="25">
        <v>0.6677076826983136</v>
      </c>
      <c r="O83" s="25">
        <v>0.6673177083333334</v>
      </c>
      <c r="P83" s="25">
        <v>0.689922480620155</v>
      </c>
      <c r="Q83" s="17">
        <v>0.6885610910102978</v>
      </c>
      <c r="R83" s="17">
        <v>0.669093851132686</v>
      </c>
      <c r="S83" s="61">
        <v>0.6846450192625206</v>
      </c>
      <c r="T83" s="17">
        <v>0.7002504870581686</v>
      </c>
      <c r="U83" s="17">
        <v>0.6910774410774411</v>
      </c>
      <c r="V83" s="17">
        <f t="shared" si="19"/>
        <v>0.6957013574660633</v>
      </c>
      <c r="W83" s="17">
        <f t="shared" si="20"/>
        <v>0.6884647768734212</v>
      </c>
      <c r="X83" s="17">
        <f t="shared" si="21"/>
        <v>0.6833091436865022</v>
      </c>
      <c r="Y83" s="17">
        <f t="shared" si="22"/>
        <v>0.6793604651162791</v>
      </c>
      <c r="Z83" s="78">
        <f t="shared" si="23"/>
        <v>0.6747414262384323</v>
      </c>
      <c r="AA83" s="95" t="s">
        <v>42</v>
      </c>
      <c r="AB83" s="92">
        <v>844</v>
      </c>
      <c r="AC83" s="26">
        <v>922</v>
      </c>
      <c r="AD83" s="26">
        <v>884</v>
      </c>
      <c r="AE83" s="26">
        <v>987</v>
      </c>
      <c r="AF83" s="26">
        <v>986</v>
      </c>
      <c r="AG83" s="26">
        <v>994</v>
      </c>
      <c r="AH83" s="26">
        <v>1877</v>
      </c>
      <c r="AI83" s="26">
        <v>1910</v>
      </c>
      <c r="AJ83" s="26">
        <v>1876</v>
      </c>
      <c r="AK83" s="26">
        <v>2018</v>
      </c>
      <c r="AL83" s="26">
        <v>2094</v>
      </c>
      <c r="AM83" s="26">
        <v>2138</v>
      </c>
      <c r="AN83" s="26">
        <v>2050</v>
      </c>
      <c r="AO83" s="26">
        <v>2136</v>
      </c>
      <c r="AP83" s="26">
        <v>2474</v>
      </c>
      <c r="AQ83" s="26">
        <v>2481</v>
      </c>
      <c r="AR83" s="53">
        <v>2488</v>
      </c>
      <c r="AS83" s="26">
        <v>2516</v>
      </c>
      <c r="AT83" s="26">
        <v>2463</v>
      </c>
      <c r="AU83" s="26">
        <v>2460</v>
      </c>
      <c r="AV83" s="26">
        <v>2453</v>
      </c>
      <c r="AW83" s="26">
        <v>2354</v>
      </c>
      <c r="AX83" s="6">
        <v>2337</v>
      </c>
      <c r="AY83" s="115">
        <v>2479</v>
      </c>
      <c r="AZ83" s="106"/>
      <c r="BB83" s="4">
        <v>1610</v>
      </c>
      <c r="BC83" s="4">
        <v>1749</v>
      </c>
      <c r="BD83" s="4">
        <v>1691</v>
      </c>
      <c r="BE83" s="4">
        <v>1872</v>
      </c>
      <c r="BF83" s="4">
        <v>1816</v>
      </c>
      <c r="BG83" s="4">
        <v>1834</v>
      </c>
      <c r="BH83" s="4">
        <v>2920</v>
      </c>
      <c r="BI83" s="4">
        <f>1910+1044</f>
        <v>2954</v>
      </c>
      <c r="BJ83" s="4">
        <f>1045+1876</f>
        <v>2921</v>
      </c>
      <c r="BK83" s="4">
        <f>2018+1069</f>
        <v>3087</v>
      </c>
      <c r="BL83" s="4">
        <f>2094+1042</f>
        <v>3136</v>
      </c>
      <c r="BM83" s="4">
        <f>2138+1064</f>
        <v>3202</v>
      </c>
      <c r="BN83" s="4">
        <f>2050+1022</f>
        <v>3072</v>
      </c>
      <c r="BO83" s="4">
        <f>960+2136</f>
        <v>3096</v>
      </c>
      <c r="BP83" s="4">
        <f>2474+1119</f>
        <v>3593</v>
      </c>
      <c r="BQ83" s="7">
        <f>2481+1227</f>
        <v>3708</v>
      </c>
      <c r="BR83" s="7">
        <f>2488+1146</f>
        <v>3634</v>
      </c>
      <c r="BS83" s="7">
        <v>3593</v>
      </c>
      <c r="BT83" s="7">
        <v>3564</v>
      </c>
      <c r="BU83" s="101">
        <v>3536</v>
      </c>
      <c r="BV83" s="101">
        <v>3563</v>
      </c>
      <c r="BW83" s="101">
        <v>3445</v>
      </c>
      <c r="BX83" s="101">
        <v>3440</v>
      </c>
      <c r="BY83" s="114">
        <v>3674</v>
      </c>
    </row>
    <row r="84" spans="1:77" ht="12.75" customHeight="1">
      <c r="A84" s="9" t="s">
        <v>80</v>
      </c>
      <c r="B84" s="89">
        <v>0.9763837638376384</v>
      </c>
      <c r="C84" s="85">
        <v>0.9794913863822805</v>
      </c>
      <c r="D84" s="25">
        <v>0.9780621572212066</v>
      </c>
      <c r="E84" s="25">
        <v>0.977710233029382</v>
      </c>
      <c r="F84" s="25">
        <v>0.9759572573463936</v>
      </c>
      <c r="G84" s="25">
        <v>0.9711538461538461</v>
      </c>
      <c r="H84" s="25">
        <v>0.9625796178343949</v>
      </c>
      <c r="I84" s="25">
        <v>0.9614065180102916</v>
      </c>
      <c r="J84" s="25">
        <v>0.9689336691855583</v>
      </c>
      <c r="K84" s="25">
        <v>0.9733096085409253</v>
      </c>
      <c r="L84" s="25">
        <v>0.9674641148325359</v>
      </c>
      <c r="M84" s="25">
        <v>0.9564336372847011</v>
      </c>
      <c r="N84" s="25">
        <v>0.9563409563409564</v>
      </c>
      <c r="O84" s="25">
        <v>0.9516310461192351</v>
      </c>
      <c r="P84" s="25">
        <v>0.9500554938956715</v>
      </c>
      <c r="Q84" s="17">
        <v>0.9511599511599511</v>
      </c>
      <c r="R84" s="17">
        <v>0.9417852522639069</v>
      </c>
      <c r="S84" s="61">
        <v>0.9263959390862944</v>
      </c>
      <c r="T84" s="17">
        <v>0.9377431906614786</v>
      </c>
      <c r="U84" s="17">
        <v>0.9446935724962631</v>
      </c>
      <c r="V84" s="17">
        <f t="shared" si="19"/>
        <v>0.9355828220858896</v>
      </c>
      <c r="W84" s="17">
        <f t="shared" si="20"/>
        <v>0.9567233384853169</v>
      </c>
      <c r="X84" s="17">
        <f t="shared" si="21"/>
        <v>0.9531914893617022</v>
      </c>
      <c r="Y84" s="17">
        <f t="shared" si="22"/>
        <v>0.9624697336561744</v>
      </c>
      <c r="Z84" s="78">
        <f t="shared" si="23"/>
        <v>0.9522821576763485</v>
      </c>
      <c r="AA84" s="94">
        <v>1323</v>
      </c>
      <c r="AB84" s="92">
        <v>1194</v>
      </c>
      <c r="AC84" s="26">
        <v>1070</v>
      </c>
      <c r="AD84" s="26">
        <v>965</v>
      </c>
      <c r="AE84" s="26">
        <v>1096</v>
      </c>
      <c r="AF84" s="26">
        <v>1111</v>
      </c>
      <c r="AG84" s="26">
        <v>1209</v>
      </c>
      <c r="AH84" s="26">
        <v>1121</v>
      </c>
      <c r="AI84" s="26">
        <v>1154</v>
      </c>
      <c r="AJ84" s="26">
        <v>1094</v>
      </c>
      <c r="AK84" s="26">
        <v>1011</v>
      </c>
      <c r="AL84" s="26">
        <f>617+327</f>
        <v>944</v>
      </c>
      <c r="AM84" s="26">
        <v>920</v>
      </c>
      <c r="AN84" s="26">
        <v>846</v>
      </c>
      <c r="AO84" s="26">
        <v>856</v>
      </c>
      <c r="AP84" s="26">
        <v>779</v>
      </c>
      <c r="AQ84" s="26">
        <v>728</v>
      </c>
      <c r="AR84" s="53">
        <v>730</v>
      </c>
      <c r="AS84" s="26">
        <v>723</v>
      </c>
      <c r="AT84" s="26">
        <v>632</v>
      </c>
      <c r="AU84" s="26">
        <v>610</v>
      </c>
      <c r="AV84" s="26">
        <v>619</v>
      </c>
      <c r="AW84" s="26">
        <v>672</v>
      </c>
      <c r="AX84" s="6">
        <v>795</v>
      </c>
      <c r="AY84" s="115">
        <v>918</v>
      </c>
      <c r="AZ84" s="106"/>
      <c r="BA84" s="4">
        <v>1355</v>
      </c>
      <c r="BB84" s="4">
        <v>1219</v>
      </c>
      <c r="BC84" s="4">
        <v>1094</v>
      </c>
      <c r="BD84" s="4">
        <v>987</v>
      </c>
      <c r="BE84" s="4">
        <v>1123</v>
      </c>
      <c r="BF84" s="4">
        <v>1144</v>
      </c>
      <c r="BG84" s="4">
        <v>1256</v>
      </c>
      <c r="BH84" s="4">
        <v>1166</v>
      </c>
      <c r="BI84" s="4">
        <f>1154+37</f>
        <v>1191</v>
      </c>
      <c r="BJ84" s="4">
        <f>1094+30</f>
        <v>1124</v>
      </c>
      <c r="BK84" s="4">
        <f>34+1011</f>
        <v>1045</v>
      </c>
      <c r="BL84" s="4">
        <f>15+617+28+327</f>
        <v>987</v>
      </c>
      <c r="BM84" s="4">
        <f>42+920</f>
        <v>962</v>
      </c>
      <c r="BN84" s="4">
        <f>846+43</f>
        <v>889</v>
      </c>
      <c r="BO84" s="4">
        <f>856+45</f>
        <v>901</v>
      </c>
      <c r="BP84" s="4">
        <f>779+40</f>
        <v>819</v>
      </c>
      <c r="BQ84" s="7">
        <f>728+45</f>
        <v>773</v>
      </c>
      <c r="BR84" s="7">
        <f>730+58</f>
        <v>788</v>
      </c>
      <c r="BS84" s="7">
        <v>771</v>
      </c>
      <c r="BT84" s="7">
        <v>669</v>
      </c>
      <c r="BU84" s="101">
        <v>652</v>
      </c>
      <c r="BV84" s="101">
        <v>647</v>
      </c>
      <c r="BW84" s="101">
        <v>705</v>
      </c>
      <c r="BX84" s="101">
        <v>826</v>
      </c>
      <c r="BY84" s="114">
        <v>964</v>
      </c>
    </row>
    <row r="85" spans="1:71" ht="12.75" customHeight="1" hidden="1">
      <c r="A85" s="9" t="s">
        <v>81</v>
      </c>
      <c r="B85" s="89">
        <v>0.41824440619621345</v>
      </c>
      <c r="C85" s="85">
        <v>0.3769633507853403</v>
      </c>
      <c r="D85" s="25">
        <v>0.4345718901453958</v>
      </c>
      <c r="E85" s="25">
        <v>0.4364197530864197</v>
      </c>
      <c r="F85" s="25">
        <v>0.45202440377149194</v>
      </c>
      <c r="G85" s="25">
        <v>0.4461538461538462</v>
      </c>
      <c r="H85" s="25">
        <v>0.47164323800290836</v>
      </c>
      <c r="I85" s="25">
        <v>0.4757617728531856</v>
      </c>
      <c r="J85" s="25">
        <v>0.4600371747211896</v>
      </c>
      <c r="K85" s="40" t="s">
        <v>43</v>
      </c>
      <c r="L85" s="40" t="s">
        <v>43</v>
      </c>
      <c r="M85" s="40" t="s">
        <v>43</v>
      </c>
      <c r="N85" s="40" t="s">
        <v>43</v>
      </c>
      <c r="O85" s="40" t="s">
        <v>43</v>
      </c>
      <c r="P85" s="40" t="s">
        <v>43</v>
      </c>
      <c r="Q85" s="38" t="s">
        <v>43</v>
      </c>
      <c r="R85" s="38" t="s">
        <v>43</v>
      </c>
      <c r="S85" s="55" t="s">
        <v>43</v>
      </c>
      <c r="T85" s="38" t="s">
        <v>43</v>
      </c>
      <c r="U85" s="38" t="s">
        <v>43</v>
      </c>
      <c r="V85" s="38" t="s">
        <v>43</v>
      </c>
      <c r="W85" s="38" t="s">
        <v>43</v>
      </c>
      <c r="X85" s="69" t="s">
        <v>43</v>
      </c>
      <c r="Y85" s="69" t="s">
        <v>43</v>
      </c>
      <c r="Z85" s="78" t="e">
        <f t="shared" si="23"/>
        <v>#VALUE!</v>
      </c>
      <c r="AA85" s="94">
        <v>243</v>
      </c>
      <c r="AB85" s="92">
        <v>288</v>
      </c>
      <c r="AC85" s="26">
        <v>269</v>
      </c>
      <c r="AD85" s="26">
        <v>707</v>
      </c>
      <c r="AE85" s="26">
        <v>815</v>
      </c>
      <c r="AF85" s="26">
        <v>725</v>
      </c>
      <c r="AG85" s="26">
        <v>973</v>
      </c>
      <c r="AH85" s="26">
        <v>687</v>
      </c>
      <c r="AI85" s="26">
        <v>495</v>
      </c>
      <c r="AJ85" s="41" t="s">
        <v>43</v>
      </c>
      <c r="AK85" s="41" t="s">
        <v>43</v>
      </c>
      <c r="AL85" s="41" t="s">
        <v>43</v>
      </c>
      <c r="AM85" s="41" t="s">
        <v>43</v>
      </c>
      <c r="AN85" s="41" t="s">
        <v>43</v>
      </c>
      <c r="AO85" s="41" t="s">
        <v>43</v>
      </c>
      <c r="AP85" s="41" t="s">
        <v>43</v>
      </c>
      <c r="AQ85" s="41" t="s">
        <v>43</v>
      </c>
      <c r="AR85" s="66" t="s">
        <v>43</v>
      </c>
      <c r="AS85" s="41" t="s">
        <v>43</v>
      </c>
      <c r="AT85" s="41" t="s">
        <v>43</v>
      </c>
      <c r="AU85" s="36" t="s">
        <v>43</v>
      </c>
      <c r="AV85" s="36" t="s">
        <v>43</v>
      </c>
      <c r="AW85" s="80" t="s">
        <v>43</v>
      </c>
      <c r="AX85" s="80" t="s">
        <v>43</v>
      </c>
      <c r="AY85" s="80" t="s">
        <v>43</v>
      </c>
      <c r="AZ85" s="113"/>
      <c r="BA85" s="4">
        <v>581</v>
      </c>
      <c r="BB85" s="4">
        <v>764</v>
      </c>
      <c r="BC85" s="4">
        <v>619</v>
      </c>
      <c r="BD85" s="4">
        <v>1620</v>
      </c>
      <c r="BE85" s="4">
        <v>1803</v>
      </c>
      <c r="BF85" s="4">
        <v>1625</v>
      </c>
      <c r="BG85" s="4">
        <v>2063</v>
      </c>
      <c r="BH85" s="4">
        <v>1444</v>
      </c>
      <c r="BI85" s="4">
        <f>495+581</f>
        <v>1076</v>
      </c>
      <c r="BP85" s="21" t="s">
        <v>43</v>
      </c>
      <c r="BS85" s="7"/>
    </row>
    <row r="86" spans="1:77" ht="12.75" customHeight="1">
      <c r="A86" s="9" t="s">
        <v>82</v>
      </c>
      <c r="B86" s="89">
        <v>0.40432980193459234</v>
      </c>
      <c r="C86" s="85">
        <v>0.41083125749607896</v>
      </c>
      <c r="D86" s="25">
        <v>0.41922714420358154</v>
      </c>
      <c r="E86" s="25">
        <v>0.4167857483090407</v>
      </c>
      <c r="F86" s="25">
        <v>0.4173265909741437</v>
      </c>
      <c r="G86" s="25">
        <v>0.4256598102751949</v>
      </c>
      <c r="H86" s="25">
        <v>0.43207514350321796</v>
      </c>
      <c r="I86" s="25">
        <v>0.4407234337140879</v>
      </c>
      <c r="J86" s="25">
        <v>0.44487072560467056</v>
      </c>
      <c r="K86" s="25">
        <v>0.4494131757046175</v>
      </c>
      <c r="L86" s="25">
        <v>0.452903560318009</v>
      </c>
      <c r="M86" s="25">
        <v>0.4649130323022877</v>
      </c>
      <c r="N86" s="25">
        <v>0.4705276705276705</v>
      </c>
      <c r="O86" s="25">
        <v>0.4819717819195262</v>
      </c>
      <c r="P86" s="25">
        <v>0.4920935029219663</v>
      </c>
      <c r="Q86" s="17">
        <v>0.4950025848698949</v>
      </c>
      <c r="R86" s="17">
        <v>0.4978811798919817</v>
      </c>
      <c r="S86" s="61">
        <v>0.499669093315685</v>
      </c>
      <c r="T86" s="17">
        <v>0.49719425647796667</v>
      </c>
      <c r="U86" s="17">
        <v>0.4934766554525314</v>
      </c>
      <c r="V86" s="17">
        <f aca="true" t="shared" si="24" ref="V86:Y91">+AU86/BU86</f>
        <v>0.49831597086237955</v>
      </c>
      <c r="W86" s="17">
        <f t="shared" si="24"/>
        <v>0.5033026113671275</v>
      </c>
      <c r="X86" s="17">
        <f t="shared" si="24"/>
        <v>0.4987887963663891</v>
      </c>
      <c r="Y86" s="17">
        <f t="shared" si="24"/>
        <v>0.5001868041545244</v>
      </c>
      <c r="Z86" s="78">
        <f t="shared" si="23"/>
        <v>0.5004118307749906</v>
      </c>
      <c r="AA86" s="94">
        <v>4389</v>
      </c>
      <c r="AB86" s="92">
        <v>4453</v>
      </c>
      <c r="AC86" s="26">
        <v>4448</v>
      </c>
      <c r="AD86" s="26">
        <v>4375</v>
      </c>
      <c r="AE86" s="26">
        <v>4374</v>
      </c>
      <c r="AF86" s="26">
        <v>4532</v>
      </c>
      <c r="AG86" s="26">
        <v>4968</v>
      </c>
      <c r="AH86" s="26">
        <v>5093</v>
      </c>
      <c r="AI86" s="26">
        <v>5334</v>
      </c>
      <c r="AJ86" s="26">
        <v>5246</v>
      </c>
      <c r="AK86" s="26">
        <v>5241</v>
      </c>
      <c r="AL86" s="26">
        <v>5426</v>
      </c>
      <c r="AM86" s="26">
        <v>5484</v>
      </c>
      <c r="AN86" s="26">
        <v>5534</v>
      </c>
      <c r="AO86" s="26">
        <v>5726</v>
      </c>
      <c r="AP86" s="26">
        <v>5745</v>
      </c>
      <c r="AQ86" s="26">
        <v>5992</v>
      </c>
      <c r="AR86" s="53">
        <v>6040</v>
      </c>
      <c r="AS86" s="26">
        <v>6025</v>
      </c>
      <c r="AT86" s="26">
        <v>6014</v>
      </c>
      <c r="AU86" s="26">
        <v>6362</v>
      </c>
      <c r="AV86" s="26">
        <v>6553</v>
      </c>
      <c r="AW86" s="26">
        <v>6589</v>
      </c>
      <c r="AX86" s="6">
        <v>6694</v>
      </c>
      <c r="AY86" s="115">
        <v>6683</v>
      </c>
      <c r="AZ86" s="106"/>
      <c r="BA86" s="4">
        <v>10855</v>
      </c>
      <c r="BB86" s="4">
        <v>10839</v>
      </c>
      <c r="BC86" s="4">
        <v>10610</v>
      </c>
      <c r="BD86" s="4">
        <v>10497</v>
      </c>
      <c r="BE86" s="4">
        <v>10481</v>
      </c>
      <c r="BF86" s="4">
        <v>10647</v>
      </c>
      <c r="BG86" s="4">
        <v>11498</v>
      </c>
      <c r="BH86" s="4">
        <v>11556</v>
      </c>
      <c r="BI86" s="4">
        <f>6656+5334</f>
        <v>11990</v>
      </c>
      <c r="BJ86" s="4">
        <f>6427+5246</f>
        <v>11673</v>
      </c>
      <c r="BK86" s="4">
        <f>6331+5241</f>
        <v>11572</v>
      </c>
      <c r="BL86" s="4">
        <f>6245+5426</f>
        <v>11671</v>
      </c>
      <c r="BM86" s="4">
        <f>6171+5484</f>
        <v>11655</v>
      </c>
      <c r="BN86" s="4">
        <f>5534+5948</f>
        <v>11482</v>
      </c>
      <c r="BO86" s="4">
        <f>5910+5726</f>
        <v>11636</v>
      </c>
      <c r="BP86" s="4">
        <f>5745+5861</f>
        <v>11606</v>
      </c>
      <c r="BQ86" s="7">
        <f>5992+6043</f>
        <v>12035</v>
      </c>
      <c r="BR86" s="7">
        <f>6040+6048</f>
        <v>12088</v>
      </c>
      <c r="BS86" s="7">
        <v>12118</v>
      </c>
      <c r="BT86" s="7">
        <v>12187</v>
      </c>
      <c r="BU86" s="101">
        <v>12767</v>
      </c>
      <c r="BV86" s="101">
        <v>13020</v>
      </c>
      <c r="BW86" s="101">
        <v>13210</v>
      </c>
      <c r="BX86" s="101">
        <v>13383</v>
      </c>
      <c r="BY86" s="114">
        <v>13355</v>
      </c>
    </row>
    <row r="87" spans="1:77" ht="12.75" customHeight="1">
      <c r="A87" s="9" t="s">
        <v>83</v>
      </c>
      <c r="B87" s="89">
        <v>0.4384440306228016</v>
      </c>
      <c r="C87" s="85">
        <v>0.44256823090516395</v>
      </c>
      <c r="D87" s="25">
        <v>0.4497571908853194</v>
      </c>
      <c r="E87" s="25">
        <v>0.463225138121547</v>
      </c>
      <c r="F87" s="25">
        <v>0.48201655379984953</v>
      </c>
      <c r="G87" s="25">
        <v>0.4821192052980132</v>
      </c>
      <c r="H87" s="25">
        <v>0.5086206896551724</v>
      </c>
      <c r="I87" s="25">
        <v>0.5328844535289167</v>
      </c>
      <c r="J87" s="25">
        <v>0.5381360777587193</v>
      </c>
      <c r="K87" s="25">
        <v>0.5263386553709134</v>
      </c>
      <c r="L87" s="25">
        <v>0.5214970615527375</v>
      </c>
      <c r="M87" s="25">
        <v>0.5303246885848478</v>
      </c>
      <c r="N87" s="25">
        <v>0.5333991119881598</v>
      </c>
      <c r="O87" s="25">
        <v>0.550562851782364</v>
      </c>
      <c r="P87" s="25">
        <v>0.5689851767388826</v>
      </c>
      <c r="Q87" s="17">
        <v>0.5622660768969037</v>
      </c>
      <c r="R87" s="17">
        <v>0.5732725892179195</v>
      </c>
      <c r="S87" s="61">
        <v>0.5720411663807891</v>
      </c>
      <c r="T87" s="17">
        <v>0.5708481462671406</v>
      </c>
      <c r="U87" s="17">
        <v>0.5728476821192053</v>
      </c>
      <c r="V87" s="17">
        <f t="shared" si="24"/>
        <v>0.5719172125920343</v>
      </c>
      <c r="W87" s="17">
        <f t="shared" si="24"/>
        <v>0.5730522945570972</v>
      </c>
      <c r="X87" s="17">
        <f t="shared" si="24"/>
        <v>0.5774240991700809</v>
      </c>
      <c r="Y87" s="17">
        <f t="shared" si="24"/>
        <v>0.5882544684087575</v>
      </c>
      <c r="Z87" s="78">
        <f t="shared" si="23"/>
        <v>0.5899910351737594</v>
      </c>
      <c r="AA87" s="94">
        <v>2119</v>
      </c>
      <c r="AB87" s="92">
        <v>2254</v>
      </c>
      <c r="AC87" s="26">
        <v>2408</v>
      </c>
      <c r="AD87" s="26">
        <v>2683</v>
      </c>
      <c r="AE87" s="26">
        <v>3203</v>
      </c>
      <c r="AF87" s="26">
        <v>3640</v>
      </c>
      <c r="AG87" s="26">
        <v>4130</v>
      </c>
      <c r="AH87" s="26">
        <v>4432</v>
      </c>
      <c r="AI87" s="26">
        <v>4706</v>
      </c>
      <c r="AJ87" s="26">
        <v>4846</v>
      </c>
      <c r="AK87" s="26">
        <v>5058</v>
      </c>
      <c r="AL87" s="26">
        <v>5194</v>
      </c>
      <c r="AM87" s="26">
        <v>5406</v>
      </c>
      <c r="AN87" s="26">
        <v>5869</v>
      </c>
      <c r="AO87" s="26">
        <v>6487</v>
      </c>
      <c r="AP87" s="26">
        <v>6610</v>
      </c>
      <c r="AQ87" s="26">
        <v>6795</v>
      </c>
      <c r="AR87" s="53">
        <v>7337</v>
      </c>
      <c r="AS87" s="26">
        <v>7868</v>
      </c>
      <c r="AT87" s="26">
        <v>8823</v>
      </c>
      <c r="AU87" s="26">
        <v>9865</v>
      </c>
      <c r="AV87" s="26">
        <v>10739</v>
      </c>
      <c r="AW87" s="26">
        <v>10993</v>
      </c>
      <c r="AX87" s="6">
        <v>10828</v>
      </c>
      <c r="AY87" s="115">
        <v>11188</v>
      </c>
      <c r="AZ87" s="106"/>
      <c r="BA87" s="4">
        <v>4833</v>
      </c>
      <c r="BB87" s="4">
        <v>5093</v>
      </c>
      <c r="BC87" s="4">
        <v>5354</v>
      </c>
      <c r="BD87" s="4">
        <v>5792</v>
      </c>
      <c r="BE87" s="4">
        <v>6645</v>
      </c>
      <c r="BF87" s="4">
        <v>7550</v>
      </c>
      <c r="BG87" s="4">
        <v>8120</v>
      </c>
      <c r="BH87" s="4">
        <v>8317</v>
      </c>
      <c r="BI87" s="4">
        <f>4706+4039</f>
        <v>8745</v>
      </c>
      <c r="BJ87" s="4">
        <f>4846+4361</f>
        <v>9207</v>
      </c>
      <c r="BK87" s="4">
        <f>5058+4641</f>
        <v>9699</v>
      </c>
      <c r="BL87" s="4">
        <f>5194+4600</f>
        <v>9794</v>
      </c>
      <c r="BM87" s="4">
        <f>4729+5406</f>
        <v>10135</v>
      </c>
      <c r="BN87" s="4">
        <f>5869+4791</f>
        <v>10660</v>
      </c>
      <c r="BO87" s="4">
        <f>6487+4914</f>
        <v>11401</v>
      </c>
      <c r="BP87" s="4">
        <f>5146+6610</f>
        <v>11756</v>
      </c>
      <c r="BQ87" s="7">
        <f>6795+5058</f>
        <v>11853</v>
      </c>
      <c r="BR87" s="7">
        <f>7337+5489</f>
        <v>12826</v>
      </c>
      <c r="BS87" s="7">
        <v>13783</v>
      </c>
      <c r="BT87" s="7">
        <v>15402</v>
      </c>
      <c r="BU87" s="101">
        <v>17249</v>
      </c>
      <c r="BV87" s="101">
        <v>18740</v>
      </c>
      <c r="BW87" s="101">
        <v>19038</v>
      </c>
      <c r="BX87" s="101">
        <v>18407</v>
      </c>
      <c r="BY87" s="114">
        <v>18963</v>
      </c>
    </row>
    <row r="88" spans="1:77" ht="12.75" customHeight="1">
      <c r="A88" s="9" t="s">
        <v>84</v>
      </c>
      <c r="B88" s="89">
        <v>0.18492176386913228</v>
      </c>
      <c r="C88" s="85">
        <v>0.22962962962962963</v>
      </c>
      <c r="D88" s="25">
        <v>0.22439024390243903</v>
      </c>
      <c r="E88" s="25">
        <v>0.2696078431372549</v>
      </c>
      <c r="F88" s="25">
        <v>0.2674050632911392</v>
      </c>
      <c r="G88" s="25">
        <v>0.30338733431516934</v>
      </c>
      <c r="H88" s="25">
        <v>0.3193033381712627</v>
      </c>
      <c r="I88" s="25">
        <v>0.3337874659400545</v>
      </c>
      <c r="J88" s="25">
        <v>0.3405612244897959</v>
      </c>
      <c r="K88" s="25">
        <v>0.36707152496626183</v>
      </c>
      <c r="L88" s="25">
        <v>0.3948087431693989</v>
      </c>
      <c r="M88" s="25">
        <v>0.4045584045584046</v>
      </c>
      <c r="N88" s="25">
        <v>0.42128935532233885</v>
      </c>
      <c r="O88" s="25">
        <v>0.40939597315436244</v>
      </c>
      <c r="P88" s="25">
        <v>0.3987915407854985</v>
      </c>
      <c r="Q88" s="17">
        <v>0.40825688073394495</v>
      </c>
      <c r="R88" s="17">
        <v>0.43156424581005587</v>
      </c>
      <c r="S88" s="61">
        <v>0.42128279883381925</v>
      </c>
      <c r="T88" s="17">
        <v>0.43002915451895046</v>
      </c>
      <c r="U88" s="17">
        <v>0.42857142857142855</v>
      </c>
      <c r="V88" s="17">
        <f t="shared" si="24"/>
        <v>0.44726810673443457</v>
      </c>
      <c r="W88" s="17">
        <f t="shared" si="24"/>
        <v>0.4165651644336175</v>
      </c>
      <c r="X88" s="17">
        <f t="shared" si="24"/>
        <v>0.4332171893147503</v>
      </c>
      <c r="Y88" s="17">
        <f t="shared" si="24"/>
        <v>0.4324618736383442</v>
      </c>
      <c r="Z88" s="78">
        <f t="shared" si="23"/>
        <v>0.4320083682008368</v>
      </c>
      <c r="AA88" s="94">
        <v>130</v>
      </c>
      <c r="AB88" s="92">
        <v>155</v>
      </c>
      <c r="AC88" s="26">
        <v>138</v>
      </c>
      <c r="AD88" s="26">
        <v>165</v>
      </c>
      <c r="AE88" s="26">
        <v>169</v>
      </c>
      <c r="AF88" s="26">
        <v>206</v>
      </c>
      <c r="AG88" s="26">
        <v>220</v>
      </c>
      <c r="AH88" s="26">
        <v>245</v>
      </c>
      <c r="AI88" s="26">
        <v>267</v>
      </c>
      <c r="AJ88" s="26">
        <v>272</v>
      </c>
      <c r="AK88" s="26">
        <v>289</v>
      </c>
      <c r="AL88" s="26">
        <v>284</v>
      </c>
      <c r="AM88" s="26">
        <v>281</v>
      </c>
      <c r="AN88" s="26">
        <v>244</v>
      </c>
      <c r="AO88" s="26">
        <v>264</v>
      </c>
      <c r="AP88" s="26">
        <v>267</v>
      </c>
      <c r="AQ88" s="26">
        <v>309</v>
      </c>
      <c r="AR88" s="53">
        <v>289</v>
      </c>
      <c r="AS88" s="26">
        <v>295</v>
      </c>
      <c r="AT88" s="26">
        <v>330</v>
      </c>
      <c r="AU88" s="26">
        <v>352</v>
      </c>
      <c r="AV88" s="26">
        <v>342</v>
      </c>
      <c r="AW88" s="26">
        <v>373</v>
      </c>
      <c r="AX88" s="6">
        <v>397</v>
      </c>
      <c r="AY88" s="115">
        <v>413</v>
      </c>
      <c r="AZ88" s="106"/>
      <c r="BA88" s="4">
        <v>703</v>
      </c>
      <c r="BB88" s="4">
        <v>675</v>
      </c>
      <c r="BC88" s="4">
        <v>615</v>
      </c>
      <c r="BD88" s="4">
        <v>612</v>
      </c>
      <c r="BE88" s="4">
        <v>632</v>
      </c>
      <c r="BF88" s="4">
        <v>679</v>
      </c>
      <c r="BG88" s="4">
        <v>689</v>
      </c>
      <c r="BH88" s="4">
        <v>734</v>
      </c>
      <c r="BI88" s="4">
        <v>784</v>
      </c>
      <c r="BJ88" s="4">
        <f>272+469</f>
        <v>741</v>
      </c>
      <c r="BK88" s="4">
        <f>443+289</f>
        <v>732</v>
      </c>
      <c r="BL88" s="4">
        <f>418+284</f>
        <v>702</v>
      </c>
      <c r="BM88" s="4">
        <f>281+386</f>
        <v>667</v>
      </c>
      <c r="BN88" s="4">
        <f>244+352</f>
        <v>596</v>
      </c>
      <c r="BO88" s="4">
        <f>398+264</f>
        <v>662</v>
      </c>
      <c r="BP88" s="4">
        <f>267+387</f>
        <v>654</v>
      </c>
      <c r="BQ88" s="7">
        <f>309+407</f>
        <v>716</v>
      </c>
      <c r="BR88" s="7">
        <f>393+286+7</f>
        <v>686</v>
      </c>
      <c r="BS88" s="7">
        <v>686</v>
      </c>
      <c r="BT88" s="7">
        <v>770</v>
      </c>
      <c r="BU88" s="101">
        <v>787</v>
      </c>
      <c r="BV88" s="101">
        <v>821</v>
      </c>
      <c r="BW88" s="101">
        <v>861</v>
      </c>
      <c r="BX88" s="101">
        <v>918</v>
      </c>
      <c r="BY88" s="114">
        <v>956</v>
      </c>
    </row>
    <row r="89" spans="1:77" ht="12.75" customHeight="1">
      <c r="A89" s="9" t="s">
        <v>85</v>
      </c>
      <c r="B89" s="89">
        <v>0.5607101947308133</v>
      </c>
      <c r="C89" s="85">
        <v>0.5434430652995142</v>
      </c>
      <c r="D89" s="25">
        <v>0.5369161225514817</v>
      </c>
      <c r="E89" s="25">
        <v>0.5449160908193484</v>
      </c>
      <c r="F89" s="25">
        <v>0.5638039786511402</v>
      </c>
      <c r="G89" s="25">
        <v>0.4066634002939735</v>
      </c>
      <c r="H89" s="25">
        <v>0.5992943548387096</v>
      </c>
      <c r="I89" s="25">
        <v>0.592479674796748</v>
      </c>
      <c r="J89" s="25">
        <v>0.5792801556420234</v>
      </c>
      <c r="K89" s="25">
        <v>0.5911202891068663</v>
      </c>
      <c r="L89" s="25">
        <v>0.5888297872340426</v>
      </c>
      <c r="M89" s="25">
        <v>0.5876750700280112</v>
      </c>
      <c r="N89" s="25">
        <v>0.5827089337175793</v>
      </c>
      <c r="O89" s="25">
        <v>0.6022443890274314</v>
      </c>
      <c r="P89" s="25">
        <v>0.6157793457344451</v>
      </c>
      <c r="Q89" s="17">
        <v>0.6014492753623188</v>
      </c>
      <c r="R89" s="17">
        <v>0.6165873555404486</v>
      </c>
      <c r="S89" s="61">
        <v>0.606</v>
      </c>
      <c r="T89" s="17">
        <v>0.6040221914008321</v>
      </c>
      <c r="U89" s="17">
        <v>0.6084733382030679</v>
      </c>
      <c r="V89" s="17">
        <f t="shared" si="24"/>
        <v>0.5937062937062937</v>
      </c>
      <c r="W89" s="17">
        <f t="shared" si="24"/>
        <v>0.6048177083333334</v>
      </c>
      <c r="X89" s="17">
        <f t="shared" si="24"/>
        <v>0.6110397946084724</v>
      </c>
      <c r="Y89" s="17">
        <f t="shared" si="24"/>
        <v>0.611749680715198</v>
      </c>
      <c r="Z89" s="78">
        <f t="shared" si="23"/>
        <v>0.6153846153846154</v>
      </c>
      <c r="AA89" s="94">
        <v>979</v>
      </c>
      <c r="AB89" s="92">
        <v>1007</v>
      </c>
      <c r="AC89" s="26">
        <v>1069</v>
      </c>
      <c r="AD89" s="26">
        <v>1104</v>
      </c>
      <c r="AE89" s="26">
        <v>1162</v>
      </c>
      <c r="AF89" s="26">
        <v>830</v>
      </c>
      <c r="AG89" s="26">
        <v>1189</v>
      </c>
      <c r="AH89" s="26">
        <v>1166</v>
      </c>
      <c r="AI89" s="26">
        <v>1191</v>
      </c>
      <c r="AJ89" s="26">
        <v>1145</v>
      </c>
      <c r="AK89" s="26">
        <v>1107</v>
      </c>
      <c r="AL89" s="26">
        <v>1049</v>
      </c>
      <c r="AM89" s="26">
        <v>1011</v>
      </c>
      <c r="AN89" s="26">
        <v>966</v>
      </c>
      <c r="AO89" s="26">
        <v>960</v>
      </c>
      <c r="AP89" s="26">
        <v>913</v>
      </c>
      <c r="AQ89" s="26">
        <v>907</v>
      </c>
      <c r="AR89" s="53">
        <v>909</v>
      </c>
      <c r="AS89" s="26">
        <v>871</v>
      </c>
      <c r="AT89" s="26">
        <v>833</v>
      </c>
      <c r="AU89" s="26">
        <v>849</v>
      </c>
      <c r="AV89" s="26">
        <v>929</v>
      </c>
      <c r="AW89" s="26">
        <v>952</v>
      </c>
      <c r="AX89" s="6">
        <v>958</v>
      </c>
      <c r="AY89" s="115">
        <v>864</v>
      </c>
      <c r="AZ89" s="106"/>
      <c r="BA89" s="4">
        <v>1746</v>
      </c>
      <c r="BB89" s="4">
        <v>1853</v>
      </c>
      <c r="BC89" s="4">
        <v>1991</v>
      </c>
      <c r="BD89" s="4">
        <v>2026</v>
      </c>
      <c r="BE89" s="4">
        <v>2061</v>
      </c>
      <c r="BF89" s="4">
        <v>2041</v>
      </c>
      <c r="BG89" s="4">
        <v>1984</v>
      </c>
      <c r="BH89" s="4">
        <v>1968</v>
      </c>
      <c r="BI89" s="4">
        <f>1191+865</f>
        <v>2056</v>
      </c>
      <c r="BJ89" s="4">
        <f>792+1145</f>
        <v>1937</v>
      </c>
      <c r="BK89" s="4">
        <f>1107+773</f>
        <v>1880</v>
      </c>
      <c r="BL89" s="4">
        <f>1049+736</f>
        <v>1785</v>
      </c>
      <c r="BM89" s="4">
        <f>1011+724</f>
        <v>1735</v>
      </c>
      <c r="BN89" s="4">
        <f>966+638</f>
        <v>1604</v>
      </c>
      <c r="BO89" s="4">
        <f>960+599</f>
        <v>1559</v>
      </c>
      <c r="BP89" s="4">
        <f>913+605</f>
        <v>1518</v>
      </c>
      <c r="BQ89" s="7">
        <f>907+564</f>
        <v>1471</v>
      </c>
      <c r="BR89" s="7">
        <f>909+591</f>
        <v>1500</v>
      </c>
      <c r="BS89" s="7">
        <v>1442</v>
      </c>
      <c r="BT89" s="7">
        <v>1369</v>
      </c>
      <c r="BU89" s="101">
        <v>1430</v>
      </c>
      <c r="BV89" s="101">
        <v>1536</v>
      </c>
      <c r="BW89" s="101">
        <v>1558</v>
      </c>
      <c r="BX89" s="101">
        <v>1566</v>
      </c>
      <c r="BY89" s="114">
        <v>1404</v>
      </c>
    </row>
    <row r="90" spans="1:77" ht="12.75" customHeight="1">
      <c r="A90" s="9" t="s">
        <v>86</v>
      </c>
      <c r="B90" s="89">
        <v>1</v>
      </c>
      <c r="C90" s="85">
        <v>1</v>
      </c>
      <c r="D90" s="25">
        <v>1</v>
      </c>
      <c r="E90" s="25">
        <v>1</v>
      </c>
      <c r="F90" s="25">
        <v>1</v>
      </c>
      <c r="G90" s="25">
        <v>1</v>
      </c>
      <c r="H90" s="25">
        <v>1</v>
      </c>
      <c r="I90" s="25">
        <v>1</v>
      </c>
      <c r="J90" s="25">
        <v>1</v>
      </c>
      <c r="K90" s="25">
        <v>1</v>
      </c>
      <c r="L90" s="25">
        <v>1</v>
      </c>
      <c r="M90" s="25">
        <v>0.9845238095238096</v>
      </c>
      <c r="N90" s="25">
        <v>0.8965896589658966</v>
      </c>
      <c r="O90" s="25">
        <v>0.8320413436692506</v>
      </c>
      <c r="P90" s="25">
        <v>0.8158123370981755</v>
      </c>
      <c r="Q90" s="17">
        <v>0.7552775605942142</v>
      </c>
      <c r="R90" s="17">
        <v>0.7117296222664016</v>
      </c>
      <c r="S90" s="61">
        <v>0.7003034901365706</v>
      </c>
      <c r="T90" s="17">
        <v>0.6835699797160243</v>
      </c>
      <c r="U90" s="17">
        <v>0.676913803496082</v>
      </c>
      <c r="V90" s="17">
        <f t="shared" si="24"/>
        <v>0.6889134031991175</v>
      </c>
      <c r="W90" s="17">
        <f t="shared" si="24"/>
        <v>0.6580763920846756</v>
      </c>
      <c r="X90" s="17">
        <f t="shared" si="24"/>
        <v>0.6786855317206755</v>
      </c>
      <c r="Y90" s="17">
        <f t="shared" si="24"/>
        <v>0.676755917733799</v>
      </c>
      <c r="Z90" s="78">
        <f t="shared" si="23"/>
        <v>0.6815424610051993</v>
      </c>
      <c r="AA90" s="94">
        <v>840</v>
      </c>
      <c r="AB90" s="92">
        <v>774</v>
      </c>
      <c r="AC90" s="26">
        <v>781</v>
      </c>
      <c r="AD90" s="26">
        <v>757</v>
      </c>
      <c r="AE90" s="26">
        <v>738</v>
      </c>
      <c r="AF90" s="26">
        <v>719</v>
      </c>
      <c r="AG90" s="26">
        <v>760</v>
      </c>
      <c r="AH90" s="26">
        <v>741</v>
      </c>
      <c r="AI90" s="26">
        <v>768</v>
      </c>
      <c r="AJ90" s="26">
        <v>751</v>
      </c>
      <c r="AK90" s="26">
        <v>833</v>
      </c>
      <c r="AL90" s="26">
        <f>80+11+736</f>
        <v>827</v>
      </c>
      <c r="AM90" s="26">
        <v>815</v>
      </c>
      <c r="AN90" s="26">
        <v>966</v>
      </c>
      <c r="AO90" s="26">
        <v>939</v>
      </c>
      <c r="AP90" s="26">
        <v>966</v>
      </c>
      <c r="AQ90" s="26">
        <v>1074</v>
      </c>
      <c r="AR90" s="53">
        <v>923</v>
      </c>
      <c r="AS90" s="26">
        <v>1011</v>
      </c>
      <c r="AT90" s="26">
        <v>1123</v>
      </c>
      <c r="AU90" s="26">
        <v>1249</v>
      </c>
      <c r="AV90" s="26">
        <v>1430</v>
      </c>
      <c r="AW90" s="26">
        <v>1487</v>
      </c>
      <c r="AX90" s="6">
        <v>1744</v>
      </c>
      <c r="AY90" s="115">
        <v>1573</v>
      </c>
      <c r="AZ90" s="106"/>
      <c r="BA90" s="4">
        <v>840</v>
      </c>
      <c r="BB90" s="4">
        <v>774</v>
      </c>
      <c r="BC90" s="4">
        <v>781</v>
      </c>
      <c r="BD90" s="4">
        <v>757</v>
      </c>
      <c r="BE90" s="4">
        <v>738</v>
      </c>
      <c r="BF90" s="4">
        <v>719</v>
      </c>
      <c r="BG90" s="4">
        <v>760</v>
      </c>
      <c r="BH90" s="4">
        <v>741</v>
      </c>
      <c r="BI90" s="4">
        <v>768</v>
      </c>
      <c r="BJ90" s="4">
        <v>751</v>
      </c>
      <c r="BK90" s="4">
        <v>833</v>
      </c>
      <c r="BL90" s="4">
        <f>736+24+80</f>
        <v>840</v>
      </c>
      <c r="BM90" s="4">
        <v>909</v>
      </c>
      <c r="BN90" s="4">
        <f>195+966</f>
        <v>1161</v>
      </c>
      <c r="BO90" s="4">
        <f>939+212</f>
        <v>1151</v>
      </c>
      <c r="BP90" s="4">
        <f>966+313</f>
        <v>1279</v>
      </c>
      <c r="BQ90" s="7">
        <f>1074+435</f>
        <v>1509</v>
      </c>
      <c r="BR90" s="7">
        <f>923+395</f>
        <v>1318</v>
      </c>
      <c r="BS90" s="7">
        <v>1479</v>
      </c>
      <c r="BT90" s="7">
        <v>1659</v>
      </c>
      <c r="BU90" s="101">
        <v>1813</v>
      </c>
      <c r="BV90" s="101">
        <v>2173</v>
      </c>
      <c r="BW90" s="101">
        <v>2191</v>
      </c>
      <c r="BX90" s="101">
        <v>2577</v>
      </c>
      <c r="BY90" s="114">
        <v>2308</v>
      </c>
    </row>
    <row r="91" spans="1:77" ht="12.75" customHeight="1" thickBot="1">
      <c r="A91" s="9" t="s">
        <v>36</v>
      </c>
      <c r="B91" s="91">
        <v>0.5084555301746371</v>
      </c>
      <c r="C91" s="46">
        <v>0.5109121940591184</v>
      </c>
      <c r="D91" s="46">
        <v>0.5127902757619739</v>
      </c>
      <c r="E91" s="46">
        <v>0.5125805999439305</v>
      </c>
      <c r="F91" s="46">
        <v>0.5221147525589257</v>
      </c>
      <c r="G91" s="46">
        <v>0.519674865153177</v>
      </c>
      <c r="H91" s="46">
        <v>0.5390420727359163</v>
      </c>
      <c r="I91" s="46">
        <v>0.5347361757177066</v>
      </c>
      <c r="J91" s="46">
        <v>0.5406492311736102</v>
      </c>
      <c r="K91" s="46">
        <v>0.5384665519578706</v>
      </c>
      <c r="L91" s="46">
        <v>0.537920279458549</v>
      </c>
      <c r="M91" s="46">
        <v>0.5542291950886766</v>
      </c>
      <c r="N91" s="46">
        <v>0.556074652651045</v>
      </c>
      <c r="O91" s="46">
        <v>0.568891811903979</v>
      </c>
      <c r="P91" s="46">
        <v>0.5731018149416124</v>
      </c>
      <c r="Q91" s="47">
        <v>0.5721654098323973</v>
      </c>
      <c r="R91" s="47">
        <v>0.5756224699162646</v>
      </c>
      <c r="S91" s="62">
        <v>0.5788356967693784</v>
      </c>
      <c r="T91" s="47">
        <v>0.5739608866259192</v>
      </c>
      <c r="U91" s="47">
        <v>0.5790431088799008</v>
      </c>
      <c r="V91" s="47">
        <f t="shared" si="24"/>
        <v>0.581234795819271</v>
      </c>
      <c r="W91" s="70">
        <f t="shared" si="24"/>
        <v>0.5798792289921776</v>
      </c>
      <c r="X91" s="47">
        <f t="shared" si="24"/>
        <v>0.5787433399101268</v>
      </c>
      <c r="Y91" s="47">
        <f t="shared" si="24"/>
        <v>0.5858457738428031</v>
      </c>
      <c r="Z91" s="47">
        <f t="shared" si="23"/>
        <v>0.5889654719166659</v>
      </c>
      <c r="AA91" s="96">
        <f aca="true" t="shared" si="25" ref="AA91:BX91">SUM(AA65:AA90)</f>
        <v>27601</v>
      </c>
      <c r="AB91" s="48">
        <f t="shared" si="25"/>
        <v>28139</v>
      </c>
      <c r="AC91" s="48">
        <f t="shared" si="25"/>
        <v>28265</v>
      </c>
      <c r="AD91" s="48">
        <f t="shared" si="25"/>
        <v>29254</v>
      </c>
      <c r="AE91" s="48">
        <f t="shared" si="25"/>
        <v>33360</v>
      </c>
      <c r="AF91" s="48">
        <f t="shared" si="25"/>
        <v>34588</v>
      </c>
      <c r="AG91" s="48">
        <f t="shared" si="25"/>
        <v>36284</v>
      </c>
      <c r="AH91" s="48">
        <f t="shared" si="25"/>
        <v>38855</v>
      </c>
      <c r="AI91" s="48">
        <f t="shared" si="25"/>
        <v>41138</v>
      </c>
      <c r="AJ91" s="48">
        <f t="shared" si="25"/>
        <v>41309</v>
      </c>
      <c r="AK91" s="48">
        <f t="shared" si="25"/>
        <v>43117</v>
      </c>
      <c r="AL91" s="48">
        <f t="shared" si="25"/>
        <v>43875</v>
      </c>
      <c r="AM91" s="48">
        <f t="shared" si="25"/>
        <v>45706</v>
      </c>
      <c r="AN91" s="48">
        <f t="shared" si="25"/>
        <v>46710</v>
      </c>
      <c r="AO91" s="48">
        <f t="shared" si="25"/>
        <v>48881</v>
      </c>
      <c r="AP91" s="48">
        <f t="shared" si="25"/>
        <v>51139</v>
      </c>
      <c r="AQ91" s="48">
        <f t="shared" si="25"/>
        <v>51901</v>
      </c>
      <c r="AR91" s="57">
        <f t="shared" si="25"/>
        <v>54289</v>
      </c>
      <c r="AS91" s="48">
        <f t="shared" si="25"/>
        <v>54559</v>
      </c>
      <c r="AT91" s="48">
        <f t="shared" si="25"/>
        <v>56979</v>
      </c>
      <c r="AU91" s="48">
        <f t="shared" si="25"/>
        <v>60449</v>
      </c>
      <c r="AV91" s="48">
        <f t="shared" si="25"/>
        <v>65012</v>
      </c>
      <c r="AW91" s="48">
        <f t="shared" si="25"/>
        <v>66585</v>
      </c>
      <c r="AX91" s="48">
        <f>SUM(AX65:AX90)</f>
        <v>70206</v>
      </c>
      <c r="AY91" s="48">
        <f>SUM(AY65:AY90)</f>
        <v>71693</v>
      </c>
      <c r="AZ91" s="92"/>
      <c r="BA91" s="14">
        <f t="shared" si="25"/>
        <v>54284</v>
      </c>
      <c r="BB91" s="14">
        <f t="shared" si="25"/>
        <v>55076</v>
      </c>
      <c r="BC91" s="14">
        <f t="shared" si="25"/>
        <v>55120</v>
      </c>
      <c r="BD91" s="14">
        <f t="shared" si="25"/>
        <v>57072</v>
      </c>
      <c r="BE91" s="14">
        <f t="shared" si="25"/>
        <v>63894</v>
      </c>
      <c r="BF91" s="14">
        <f t="shared" si="25"/>
        <v>66557</v>
      </c>
      <c r="BG91" s="14">
        <f t="shared" si="25"/>
        <v>67312</v>
      </c>
      <c r="BH91" s="14">
        <f t="shared" si="25"/>
        <v>72662</v>
      </c>
      <c r="BI91" s="14">
        <f t="shared" si="25"/>
        <v>76090</v>
      </c>
      <c r="BJ91" s="14">
        <f t="shared" si="25"/>
        <v>76716</v>
      </c>
      <c r="BK91" s="14">
        <f t="shared" si="25"/>
        <v>80155</v>
      </c>
      <c r="BL91" s="14">
        <f t="shared" si="25"/>
        <v>79164</v>
      </c>
      <c r="BM91" s="14">
        <f t="shared" si="25"/>
        <v>82194</v>
      </c>
      <c r="BN91" s="14">
        <f t="shared" si="25"/>
        <v>82107</v>
      </c>
      <c r="BO91" s="14">
        <f t="shared" si="25"/>
        <v>85292</v>
      </c>
      <c r="BP91" s="14">
        <f t="shared" si="25"/>
        <v>89378</v>
      </c>
      <c r="BQ91" s="14">
        <f t="shared" si="25"/>
        <v>90165</v>
      </c>
      <c r="BR91" s="14">
        <f t="shared" si="25"/>
        <v>93790</v>
      </c>
      <c r="BS91" s="14">
        <f t="shared" si="25"/>
        <v>95057</v>
      </c>
      <c r="BT91" s="14">
        <f t="shared" si="25"/>
        <v>98402</v>
      </c>
      <c r="BU91" s="52">
        <f t="shared" si="25"/>
        <v>104001</v>
      </c>
      <c r="BV91" s="52">
        <f t="shared" si="25"/>
        <v>112113</v>
      </c>
      <c r="BW91" s="52">
        <f t="shared" si="25"/>
        <v>115051</v>
      </c>
      <c r="BX91" s="52">
        <f t="shared" si="25"/>
        <v>119837</v>
      </c>
      <c r="BY91" s="52">
        <f>SUM(BY65:BY90)</f>
        <v>121727</v>
      </c>
    </row>
    <row r="92" spans="1:52" ht="12.75" customHeight="1" thickTop="1">
      <c r="A92" s="24"/>
      <c r="B92" s="89"/>
      <c r="C92" s="8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17"/>
      <c r="R92" s="17"/>
      <c r="S92" s="61"/>
      <c r="T92" s="17"/>
      <c r="U92" s="17"/>
      <c r="V92" s="17"/>
      <c r="W92" s="17"/>
      <c r="X92" s="17"/>
      <c r="Y92" s="17"/>
      <c r="Z92" s="43"/>
      <c r="AA92" s="99"/>
      <c r="AB92" s="92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53"/>
      <c r="AS92" s="26"/>
      <c r="AT92" s="26"/>
      <c r="AU92" s="26"/>
      <c r="AV92" s="26"/>
      <c r="AW92" s="26"/>
      <c r="AZ92" s="106"/>
    </row>
    <row r="93" spans="1:52" ht="48" customHeight="1">
      <c r="A93" s="3" t="s">
        <v>87</v>
      </c>
      <c r="B93" s="89"/>
      <c r="C93" s="8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17"/>
      <c r="R93" s="17"/>
      <c r="S93" s="61"/>
      <c r="T93" s="17"/>
      <c r="U93" s="17"/>
      <c r="V93" s="17"/>
      <c r="W93" s="17"/>
      <c r="X93" s="17"/>
      <c r="Y93" s="17"/>
      <c r="Z93" s="43"/>
      <c r="AA93" s="99"/>
      <c r="AB93" s="92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53"/>
      <c r="AS93" s="26"/>
      <c r="AT93" s="26"/>
      <c r="AU93" s="26"/>
      <c r="AV93" s="26"/>
      <c r="AW93" s="26"/>
      <c r="AZ93" s="106"/>
    </row>
    <row r="94" spans="1:52" ht="12.75" customHeight="1">
      <c r="A94" s="8"/>
      <c r="B94" s="89"/>
      <c r="C94" s="8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17"/>
      <c r="R94" s="17"/>
      <c r="S94" s="61"/>
      <c r="T94" s="17"/>
      <c r="U94" s="17"/>
      <c r="V94" s="17"/>
      <c r="W94" s="17"/>
      <c r="X94" s="17"/>
      <c r="Y94" s="17"/>
      <c r="Z94" s="43"/>
      <c r="AA94" s="99"/>
      <c r="AB94" s="92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53"/>
      <c r="AS94" s="26"/>
      <c r="AT94" s="26"/>
      <c r="AU94" s="26"/>
      <c r="AV94" s="26"/>
      <c r="AW94" s="26"/>
      <c r="AZ94" s="106"/>
    </row>
    <row r="95" spans="1:77" ht="12.75" customHeight="1">
      <c r="A95" s="9" t="s">
        <v>88</v>
      </c>
      <c r="B95" s="89">
        <v>1</v>
      </c>
      <c r="C95" s="85">
        <v>1</v>
      </c>
      <c r="D95" s="25">
        <v>1</v>
      </c>
      <c r="E95" s="25">
        <v>1</v>
      </c>
      <c r="F95" s="25">
        <v>1</v>
      </c>
      <c r="G95" s="40" t="s">
        <v>42</v>
      </c>
      <c r="H95" s="25">
        <v>1</v>
      </c>
      <c r="I95" s="41" t="s">
        <v>42</v>
      </c>
      <c r="J95" s="25">
        <v>1</v>
      </c>
      <c r="K95" s="25">
        <v>1</v>
      </c>
      <c r="L95" s="25">
        <v>1</v>
      </c>
      <c r="M95" s="25">
        <v>1</v>
      </c>
      <c r="N95" s="25">
        <v>1</v>
      </c>
      <c r="O95" s="25">
        <v>1</v>
      </c>
      <c r="P95" s="25">
        <v>1</v>
      </c>
      <c r="Q95" s="17">
        <v>1</v>
      </c>
      <c r="R95" s="17">
        <v>1</v>
      </c>
      <c r="S95" s="61">
        <v>1</v>
      </c>
      <c r="T95" s="17">
        <v>1</v>
      </c>
      <c r="U95" s="17">
        <v>1</v>
      </c>
      <c r="V95" s="17">
        <f>+AU95/BU95</f>
        <v>1</v>
      </c>
      <c r="W95" s="17">
        <f>+AV95/BV95</f>
        <v>1</v>
      </c>
      <c r="X95" s="17">
        <f>+AW95/BW95</f>
        <v>1</v>
      </c>
      <c r="Y95" s="17">
        <f>+AX95/BX95</f>
        <v>1</v>
      </c>
      <c r="Z95" s="78">
        <f aca="true" t="shared" si="26" ref="Z95:Z101">SUM(AY95/BY95)</f>
        <v>1</v>
      </c>
      <c r="AA95" s="94">
        <v>324</v>
      </c>
      <c r="AB95" s="92">
        <v>359</v>
      </c>
      <c r="AC95" s="26">
        <v>348</v>
      </c>
      <c r="AD95" s="26">
        <v>350</v>
      </c>
      <c r="AE95" s="26">
        <v>348</v>
      </c>
      <c r="AF95" s="41" t="s">
        <v>42</v>
      </c>
      <c r="AG95" s="26">
        <v>350</v>
      </c>
      <c r="AH95" s="41" t="s">
        <v>42</v>
      </c>
      <c r="AI95" s="26">
        <v>348</v>
      </c>
      <c r="AJ95" s="26">
        <v>360</v>
      </c>
      <c r="AK95" s="26">
        <v>413</v>
      </c>
      <c r="AL95" s="26">
        <v>370</v>
      </c>
      <c r="AM95" s="26">
        <v>354</v>
      </c>
      <c r="AN95" s="26">
        <v>320</v>
      </c>
      <c r="AO95" s="26">
        <v>294</v>
      </c>
      <c r="AP95" s="26">
        <v>305</v>
      </c>
      <c r="AQ95" s="26">
        <v>272</v>
      </c>
      <c r="AR95" s="53">
        <v>279</v>
      </c>
      <c r="AS95" s="26">
        <v>311</v>
      </c>
      <c r="AT95" s="26">
        <v>326</v>
      </c>
      <c r="AU95" s="26">
        <v>305</v>
      </c>
      <c r="AV95" s="26">
        <v>289</v>
      </c>
      <c r="AW95" s="26">
        <v>270</v>
      </c>
      <c r="AX95" s="6">
        <v>314</v>
      </c>
      <c r="AY95" s="6">
        <v>318</v>
      </c>
      <c r="AZ95" s="106"/>
      <c r="BA95" s="4">
        <v>324</v>
      </c>
      <c r="BB95" s="4">
        <v>359</v>
      </c>
      <c r="BC95" s="4">
        <v>348</v>
      </c>
      <c r="BD95" s="4">
        <v>350</v>
      </c>
      <c r="BE95" s="4">
        <v>348</v>
      </c>
      <c r="BG95" s="4">
        <v>350</v>
      </c>
      <c r="BI95" s="4">
        <v>348</v>
      </c>
      <c r="BJ95" s="4">
        <v>360</v>
      </c>
      <c r="BK95" s="4">
        <v>413</v>
      </c>
      <c r="BL95" s="4">
        <v>370</v>
      </c>
      <c r="BM95" s="4">
        <v>354</v>
      </c>
      <c r="BN95" s="4">
        <v>320</v>
      </c>
      <c r="BO95" s="4">
        <v>294</v>
      </c>
      <c r="BP95" s="4">
        <v>305</v>
      </c>
      <c r="BQ95" s="7">
        <v>272</v>
      </c>
      <c r="BR95" s="7">
        <v>279</v>
      </c>
      <c r="BS95" s="7">
        <v>311</v>
      </c>
      <c r="BT95" s="7">
        <v>326</v>
      </c>
      <c r="BU95" s="101">
        <v>305</v>
      </c>
      <c r="BV95" s="101">
        <v>289</v>
      </c>
      <c r="BW95" s="101">
        <v>270</v>
      </c>
      <c r="BX95" s="101">
        <v>314</v>
      </c>
      <c r="BY95" s="126">
        <v>318</v>
      </c>
    </row>
    <row r="96" spans="1:74" ht="12.75" customHeight="1" hidden="1">
      <c r="A96" s="9" t="s">
        <v>89</v>
      </c>
      <c r="B96" s="89">
        <v>0.04918032786885246</v>
      </c>
      <c r="C96" s="85">
        <v>0.14606741573033707</v>
      </c>
      <c r="D96" s="25">
        <v>0.16049382716049382</v>
      </c>
      <c r="E96" s="25">
        <v>0.25547445255474455</v>
      </c>
      <c r="F96" s="25">
        <v>0.18235294117647058</v>
      </c>
      <c r="G96" s="25">
        <v>0.16766467065868262</v>
      </c>
      <c r="H96" s="25">
        <v>0.17801047120418848</v>
      </c>
      <c r="I96" s="25">
        <v>0.13656387665198239</v>
      </c>
      <c r="J96" s="25">
        <v>0.14814814814814814</v>
      </c>
      <c r="K96" s="25">
        <v>0.1839080459770115</v>
      </c>
      <c r="L96" s="25">
        <v>0.2912621359223301</v>
      </c>
      <c r="M96" s="25">
        <v>0.23529411764705882</v>
      </c>
      <c r="N96" s="25">
        <v>0.3137254901960784</v>
      </c>
      <c r="O96" s="25">
        <v>0.15254237288135594</v>
      </c>
      <c r="P96" s="40" t="s">
        <v>42</v>
      </c>
      <c r="Q96" s="38" t="s">
        <v>42</v>
      </c>
      <c r="R96" s="17">
        <v>0.1336206896551724</v>
      </c>
      <c r="S96" s="61">
        <v>0.1477832512315271</v>
      </c>
      <c r="T96" s="38" t="s">
        <v>90</v>
      </c>
      <c r="U96" s="38" t="s">
        <v>90</v>
      </c>
      <c r="V96" s="71" t="s">
        <v>43</v>
      </c>
      <c r="W96" s="71" t="s">
        <v>43</v>
      </c>
      <c r="X96" s="71" t="s">
        <v>43</v>
      </c>
      <c r="Y96" s="71" t="s">
        <v>43</v>
      </c>
      <c r="Z96" s="78" t="e">
        <f t="shared" si="26"/>
        <v>#VALUE!</v>
      </c>
      <c r="AA96" s="99">
        <v>6</v>
      </c>
      <c r="AB96" s="92">
        <v>13</v>
      </c>
      <c r="AC96" s="26">
        <v>13</v>
      </c>
      <c r="AD96" s="26">
        <v>35</v>
      </c>
      <c r="AE96" s="26">
        <v>31</v>
      </c>
      <c r="AF96" s="26">
        <v>28</v>
      </c>
      <c r="AG96" s="26">
        <v>34</v>
      </c>
      <c r="AH96" s="26">
        <v>31</v>
      </c>
      <c r="AI96" s="26">
        <v>28</v>
      </c>
      <c r="AJ96" s="26">
        <v>32</v>
      </c>
      <c r="AK96" s="26">
        <v>60</v>
      </c>
      <c r="AL96" s="26">
        <v>56</v>
      </c>
      <c r="AM96" s="26">
        <v>80</v>
      </c>
      <c r="AN96" s="26">
        <v>45</v>
      </c>
      <c r="AO96" s="41" t="s">
        <v>42</v>
      </c>
      <c r="AP96" s="41" t="s">
        <v>42</v>
      </c>
      <c r="AQ96" s="41">
        <v>31</v>
      </c>
      <c r="AR96" s="66">
        <v>30</v>
      </c>
      <c r="AS96" s="41" t="s">
        <v>90</v>
      </c>
      <c r="AT96" s="41" t="s">
        <v>90</v>
      </c>
      <c r="AU96" s="41" t="s">
        <v>43</v>
      </c>
      <c r="AV96" s="41" t="s">
        <v>43</v>
      </c>
      <c r="AW96" s="41" t="s">
        <v>43</v>
      </c>
      <c r="AX96" s="41" t="s">
        <v>43</v>
      </c>
      <c r="AY96" s="41" t="s">
        <v>43</v>
      </c>
      <c r="AZ96" s="93"/>
      <c r="BA96" s="4">
        <v>122</v>
      </c>
      <c r="BB96" s="4">
        <v>89</v>
      </c>
      <c r="BC96" s="4">
        <v>81</v>
      </c>
      <c r="BD96" s="4">
        <v>137</v>
      </c>
      <c r="BE96" s="4">
        <v>170</v>
      </c>
      <c r="BF96" s="4">
        <v>167</v>
      </c>
      <c r="BG96" s="4">
        <v>191</v>
      </c>
      <c r="BH96" s="4">
        <v>227</v>
      </c>
      <c r="BI96" s="4">
        <f>161+28</f>
        <v>189</v>
      </c>
      <c r="BJ96" s="4">
        <f>142+32</f>
        <v>174</v>
      </c>
      <c r="BK96" s="4">
        <f>60+146</f>
        <v>206</v>
      </c>
      <c r="BL96" s="4">
        <f>182+56</f>
        <v>238</v>
      </c>
      <c r="BM96" s="4">
        <f>175+80</f>
        <v>255</v>
      </c>
      <c r="BN96" s="4">
        <f>250+45</f>
        <v>295</v>
      </c>
      <c r="BQ96" s="7">
        <f>31+201</f>
        <v>232</v>
      </c>
      <c r="BR96" s="7">
        <f>173+30</f>
        <v>203</v>
      </c>
      <c r="BU96" s="93" t="s">
        <v>90</v>
      </c>
      <c r="BV96" s="93" t="s">
        <v>90</v>
      </c>
    </row>
    <row r="97" spans="1:74" ht="12.75" customHeight="1" hidden="1">
      <c r="A97" s="15" t="s">
        <v>91</v>
      </c>
      <c r="B97" s="90" t="s">
        <v>43</v>
      </c>
      <c r="C97" s="71" t="s">
        <v>43</v>
      </c>
      <c r="D97" s="40" t="s">
        <v>43</v>
      </c>
      <c r="E97" s="37" t="s">
        <v>43</v>
      </c>
      <c r="F97" s="40" t="s">
        <v>43</v>
      </c>
      <c r="G97" s="40" t="s">
        <v>43</v>
      </c>
      <c r="H97" s="40" t="s">
        <v>43</v>
      </c>
      <c r="I97" s="40" t="s">
        <v>43</v>
      </c>
      <c r="J97" s="40" t="s">
        <v>43</v>
      </c>
      <c r="K97" s="40" t="s">
        <v>43</v>
      </c>
      <c r="L97" s="40" t="s">
        <v>43</v>
      </c>
      <c r="M97" s="40" t="s">
        <v>43</v>
      </c>
      <c r="N97" s="25">
        <v>0.4912663755458515</v>
      </c>
      <c r="O97" s="40" t="s">
        <v>43</v>
      </c>
      <c r="P97" s="40" t="s">
        <v>43</v>
      </c>
      <c r="Q97" s="38" t="s">
        <v>43</v>
      </c>
      <c r="R97" s="38" t="s">
        <v>43</v>
      </c>
      <c r="S97" s="55" t="s">
        <v>43</v>
      </c>
      <c r="T97" s="38" t="s">
        <v>43</v>
      </c>
      <c r="U97" s="38" t="s">
        <v>43</v>
      </c>
      <c r="V97" s="38" t="s">
        <v>43</v>
      </c>
      <c r="W97" s="38" t="s">
        <v>43</v>
      </c>
      <c r="X97" s="69" t="s">
        <v>43</v>
      </c>
      <c r="Y97" s="69" t="s">
        <v>43</v>
      </c>
      <c r="Z97" s="78" t="e">
        <f t="shared" si="26"/>
        <v>#VALUE!</v>
      </c>
      <c r="AA97" s="95" t="s">
        <v>43</v>
      </c>
      <c r="AB97" s="93" t="s">
        <v>43</v>
      </c>
      <c r="AC97" s="41" t="s">
        <v>43</v>
      </c>
      <c r="AD97" s="41" t="s">
        <v>43</v>
      </c>
      <c r="AE97" s="41" t="s">
        <v>43</v>
      </c>
      <c r="AF97" s="41" t="s">
        <v>43</v>
      </c>
      <c r="AG97" s="41" t="s">
        <v>43</v>
      </c>
      <c r="AH97" s="41" t="s">
        <v>43</v>
      </c>
      <c r="AI97" s="41" t="s">
        <v>43</v>
      </c>
      <c r="AJ97" s="41" t="s">
        <v>43</v>
      </c>
      <c r="AK97" s="41" t="s">
        <v>43</v>
      </c>
      <c r="AL97" s="41" t="s">
        <v>43</v>
      </c>
      <c r="AM97" s="26">
        <v>450</v>
      </c>
      <c r="AN97" s="41" t="s">
        <v>43</v>
      </c>
      <c r="AO97" s="41" t="s">
        <v>43</v>
      </c>
      <c r="AP97" s="41" t="s">
        <v>43</v>
      </c>
      <c r="AQ97" s="41" t="s">
        <v>43</v>
      </c>
      <c r="AR97" s="66" t="s">
        <v>43</v>
      </c>
      <c r="AS97" s="41" t="s">
        <v>43</v>
      </c>
      <c r="AT97" s="41" t="s">
        <v>43</v>
      </c>
      <c r="AU97" s="41" t="s">
        <v>43</v>
      </c>
      <c r="AV97" s="41" t="s">
        <v>43</v>
      </c>
      <c r="AW97" s="41" t="s">
        <v>43</v>
      </c>
      <c r="AX97" s="41" t="s">
        <v>43</v>
      </c>
      <c r="AY97" s="41" t="s">
        <v>43</v>
      </c>
      <c r="AZ97" s="93"/>
      <c r="BM97" s="4">
        <v>916</v>
      </c>
      <c r="BU97" s="71" t="s">
        <v>43</v>
      </c>
      <c r="BV97" s="71" t="s">
        <v>43</v>
      </c>
    </row>
    <row r="98" spans="1:74" ht="12.75" customHeight="1" hidden="1">
      <c r="A98" s="9" t="s">
        <v>92</v>
      </c>
      <c r="B98" s="89">
        <v>0.8615863141524106</v>
      </c>
      <c r="C98" s="85">
        <v>0.8224163027656477</v>
      </c>
      <c r="D98" s="25">
        <v>0.8325652841781874</v>
      </c>
      <c r="E98" s="25">
        <v>0.8175965665236051</v>
      </c>
      <c r="F98" s="25">
        <v>0.8220183486238533</v>
      </c>
      <c r="G98" s="25">
        <v>0.8893617021276595</v>
      </c>
      <c r="H98" s="40" t="s">
        <v>43</v>
      </c>
      <c r="I98" s="40" t="s">
        <v>43</v>
      </c>
      <c r="J98" s="40" t="s">
        <v>43</v>
      </c>
      <c r="K98" s="40" t="s">
        <v>43</v>
      </c>
      <c r="L98" s="40" t="s">
        <v>43</v>
      </c>
      <c r="M98" s="40" t="s">
        <v>43</v>
      </c>
      <c r="N98" s="40" t="s">
        <v>43</v>
      </c>
      <c r="O98" s="40" t="s">
        <v>43</v>
      </c>
      <c r="P98" s="40" t="s">
        <v>43</v>
      </c>
      <c r="Q98" s="38" t="s">
        <v>43</v>
      </c>
      <c r="R98" s="38" t="s">
        <v>43</v>
      </c>
      <c r="S98" s="55" t="s">
        <v>43</v>
      </c>
      <c r="T98" s="38" t="s">
        <v>43</v>
      </c>
      <c r="U98" s="38" t="s">
        <v>43</v>
      </c>
      <c r="V98" s="38" t="s">
        <v>43</v>
      </c>
      <c r="W98" s="38" t="s">
        <v>43</v>
      </c>
      <c r="X98" s="69" t="s">
        <v>43</v>
      </c>
      <c r="Y98" s="69" t="s">
        <v>43</v>
      </c>
      <c r="Z98" s="78" t="e">
        <f t="shared" si="26"/>
        <v>#VALUE!</v>
      </c>
      <c r="AA98" s="94">
        <v>554</v>
      </c>
      <c r="AB98" s="92">
        <v>565</v>
      </c>
      <c r="AC98" s="26">
        <v>542</v>
      </c>
      <c r="AD98" s="26">
        <v>381</v>
      </c>
      <c r="AE98" s="26">
        <v>448</v>
      </c>
      <c r="AF98" s="26">
        <v>209</v>
      </c>
      <c r="AG98" s="41" t="s">
        <v>43</v>
      </c>
      <c r="AH98" s="41" t="s">
        <v>43</v>
      </c>
      <c r="AI98" s="41" t="s">
        <v>43</v>
      </c>
      <c r="AJ98" s="41" t="s">
        <v>43</v>
      </c>
      <c r="AK98" s="41" t="s">
        <v>43</v>
      </c>
      <c r="AL98" s="41" t="s">
        <v>43</v>
      </c>
      <c r="AM98" s="41" t="s">
        <v>43</v>
      </c>
      <c r="AN98" s="41" t="s">
        <v>43</v>
      </c>
      <c r="AO98" s="41" t="s">
        <v>43</v>
      </c>
      <c r="AP98" s="41" t="s">
        <v>43</v>
      </c>
      <c r="AQ98" s="41" t="s">
        <v>43</v>
      </c>
      <c r="AR98" s="66" t="s">
        <v>43</v>
      </c>
      <c r="AS98" s="41" t="s">
        <v>43</v>
      </c>
      <c r="AT98" s="41" t="s">
        <v>43</v>
      </c>
      <c r="AU98" s="41" t="s">
        <v>43</v>
      </c>
      <c r="AV98" s="41" t="s">
        <v>43</v>
      </c>
      <c r="AW98" s="41" t="s">
        <v>43</v>
      </c>
      <c r="AX98" s="41" t="s">
        <v>43</v>
      </c>
      <c r="AY98" s="41" t="s">
        <v>43</v>
      </c>
      <c r="AZ98" s="93"/>
      <c r="BA98" s="4">
        <v>643</v>
      </c>
      <c r="BB98" s="4">
        <v>687</v>
      </c>
      <c r="BC98" s="4">
        <v>651</v>
      </c>
      <c r="BD98" s="4">
        <v>466</v>
      </c>
      <c r="BE98" s="4">
        <v>545</v>
      </c>
      <c r="BF98" s="4">
        <v>235</v>
      </c>
      <c r="BU98" s="71" t="s">
        <v>43</v>
      </c>
      <c r="BV98" s="71" t="s">
        <v>43</v>
      </c>
    </row>
    <row r="99" spans="1:74" ht="12.75" customHeight="1" hidden="1">
      <c r="A99" s="9" t="s">
        <v>93</v>
      </c>
      <c r="B99" s="89">
        <v>0.5401459854014599</v>
      </c>
      <c r="C99" s="85">
        <v>0.5231788079470199</v>
      </c>
      <c r="D99" s="25">
        <v>0.5576923076923077</v>
      </c>
      <c r="E99" s="25">
        <v>0.6984126984126984</v>
      </c>
      <c r="F99" s="40" t="s">
        <v>43</v>
      </c>
      <c r="G99" s="40" t="s">
        <v>43</v>
      </c>
      <c r="H99" s="40" t="s">
        <v>43</v>
      </c>
      <c r="I99" s="40" t="s">
        <v>43</v>
      </c>
      <c r="J99" s="40" t="s">
        <v>43</v>
      </c>
      <c r="K99" s="40" t="s">
        <v>43</v>
      </c>
      <c r="L99" s="40" t="s">
        <v>43</v>
      </c>
      <c r="M99" s="40" t="s">
        <v>43</v>
      </c>
      <c r="N99" s="40" t="s">
        <v>43</v>
      </c>
      <c r="O99" s="40" t="s">
        <v>43</v>
      </c>
      <c r="P99" s="40" t="s">
        <v>43</v>
      </c>
      <c r="Q99" s="38" t="s">
        <v>43</v>
      </c>
      <c r="R99" s="38" t="s">
        <v>43</v>
      </c>
      <c r="S99" s="55" t="s">
        <v>43</v>
      </c>
      <c r="T99" s="38" t="s">
        <v>43</v>
      </c>
      <c r="U99" s="38" t="s">
        <v>43</v>
      </c>
      <c r="V99" s="38" t="s">
        <v>43</v>
      </c>
      <c r="W99" s="38" t="s">
        <v>43</v>
      </c>
      <c r="X99" s="69" t="s">
        <v>43</v>
      </c>
      <c r="Y99" s="69" t="s">
        <v>43</v>
      </c>
      <c r="Z99" s="78" t="e">
        <f t="shared" si="26"/>
        <v>#VALUE!</v>
      </c>
      <c r="AA99" s="94">
        <v>74</v>
      </c>
      <c r="AB99" s="92">
        <v>79</v>
      </c>
      <c r="AC99" s="26">
        <v>58</v>
      </c>
      <c r="AD99" s="26">
        <v>44</v>
      </c>
      <c r="AE99" s="41" t="s">
        <v>43</v>
      </c>
      <c r="AF99" s="41" t="s">
        <v>43</v>
      </c>
      <c r="AG99" s="41" t="s">
        <v>43</v>
      </c>
      <c r="AH99" s="41" t="s">
        <v>43</v>
      </c>
      <c r="AI99" s="41" t="s">
        <v>43</v>
      </c>
      <c r="AJ99" s="41" t="s">
        <v>43</v>
      </c>
      <c r="AK99" s="41" t="s">
        <v>43</v>
      </c>
      <c r="AL99" s="41" t="s">
        <v>43</v>
      </c>
      <c r="AM99" s="41" t="s">
        <v>43</v>
      </c>
      <c r="AN99" s="41" t="s">
        <v>43</v>
      </c>
      <c r="AO99" s="41" t="s">
        <v>43</v>
      </c>
      <c r="AP99" s="41" t="s">
        <v>43</v>
      </c>
      <c r="AQ99" s="41" t="s">
        <v>43</v>
      </c>
      <c r="AR99" s="66" t="s">
        <v>43</v>
      </c>
      <c r="AS99" s="41" t="s">
        <v>43</v>
      </c>
      <c r="AT99" s="41" t="s">
        <v>43</v>
      </c>
      <c r="AU99" s="41" t="s">
        <v>43</v>
      </c>
      <c r="AV99" s="41" t="s">
        <v>43</v>
      </c>
      <c r="AW99" s="41" t="s">
        <v>43</v>
      </c>
      <c r="AX99" s="41" t="s">
        <v>43</v>
      </c>
      <c r="AY99" s="41" t="s">
        <v>43</v>
      </c>
      <c r="AZ99" s="93"/>
      <c r="BA99" s="4">
        <v>137</v>
      </c>
      <c r="BB99" s="4">
        <v>151</v>
      </c>
      <c r="BC99" s="4">
        <v>104</v>
      </c>
      <c r="BD99" s="4">
        <v>63</v>
      </c>
      <c r="BU99" s="71" t="s">
        <v>43</v>
      </c>
      <c r="BV99" s="71" t="s">
        <v>43</v>
      </c>
    </row>
    <row r="100" spans="1:77" ht="12.75" customHeight="1">
      <c r="A100" s="8" t="s">
        <v>94</v>
      </c>
      <c r="B100" s="89">
        <v>0.28448275862068967</v>
      </c>
      <c r="C100" s="85">
        <v>0.47844827586206895</v>
      </c>
      <c r="D100" s="25">
        <v>0.4364406779661017</v>
      </c>
      <c r="E100" s="25">
        <v>0.5287769784172662</v>
      </c>
      <c r="F100" s="25">
        <v>0.563573883161512</v>
      </c>
      <c r="G100" s="25">
        <v>0.5127388535031847</v>
      </c>
      <c r="H100" s="25">
        <v>0.546448087431694</v>
      </c>
      <c r="I100" s="25">
        <v>0.5732484076433121</v>
      </c>
      <c r="J100" s="25">
        <v>0.6102719033232629</v>
      </c>
      <c r="K100" s="25">
        <v>0.625</v>
      </c>
      <c r="L100" s="40" t="s">
        <v>42</v>
      </c>
      <c r="M100" s="25">
        <v>0.05084745762711865</v>
      </c>
      <c r="N100" s="25">
        <v>0.6779220779220779</v>
      </c>
      <c r="O100" s="25">
        <v>0.697289156626506</v>
      </c>
      <c r="P100" s="25">
        <v>0.6356877323420075</v>
      </c>
      <c r="Q100" s="17">
        <v>0.6019108280254777</v>
      </c>
      <c r="R100" s="17">
        <v>0.5774647887323944</v>
      </c>
      <c r="S100" s="61">
        <v>0.5331412103746398</v>
      </c>
      <c r="T100" s="17">
        <v>0.476027397260274</v>
      </c>
      <c r="U100" s="17">
        <v>0.5352564102564102</v>
      </c>
      <c r="V100" s="17">
        <f aca="true" t="shared" si="27" ref="V100:Y101">+AU100/BU100</f>
        <v>0.5513698630136986</v>
      </c>
      <c r="W100" s="17">
        <f t="shared" si="27"/>
        <v>0.5897858319604613</v>
      </c>
      <c r="X100" s="17">
        <f t="shared" si="27"/>
        <v>0.5044563279857398</v>
      </c>
      <c r="Y100" s="17">
        <f t="shared" si="27"/>
        <v>0.5652173913043478</v>
      </c>
      <c r="Z100" s="78">
        <f t="shared" si="26"/>
        <v>0.5498338870431894</v>
      </c>
      <c r="AA100" s="94">
        <v>66</v>
      </c>
      <c r="AB100" s="92">
        <v>111</v>
      </c>
      <c r="AC100" s="26">
        <v>103</v>
      </c>
      <c r="AD100" s="26">
        <v>147</v>
      </c>
      <c r="AE100" s="26">
        <v>164</v>
      </c>
      <c r="AF100" s="26">
        <v>161</v>
      </c>
      <c r="AG100" s="26">
        <v>200</v>
      </c>
      <c r="AH100" s="26">
        <v>180</v>
      </c>
      <c r="AI100" s="26">
        <v>202</v>
      </c>
      <c r="AJ100" s="26">
        <v>200</v>
      </c>
      <c r="AK100" s="41" t="s">
        <v>42</v>
      </c>
      <c r="AL100" s="26">
        <v>9</v>
      </c>
      <c r="AM100" s="26">
        <v>522</v>
      </c>
      <c r="AN100" s="26">
        <v>463</v>
      </c>
      <c r="AO100" s="26">
        <v>171</v>
      </c>
      <c r="AP100" s="26">
        <v>189</v>
      </c>
      <c r="AQ100" s="26">
        <v>205</v>
      </c>
      <c r="AR100" s="53">
        <v>185</v>
      </c>
      <c r="AS100" s="26">
        <v>139</v>
      </c>
      <c r="AT100" s="26">
        <v>167</v>
      </c>
      <c r="AU100" s="26">
        <v>161</v>
      </c>
      <c r="AV100" s="26">
        <v>358</v>
      </c>
      <c r="AW100" s="26">
        <v>283</v>
      </c>
      <c r="AX100" s="6">
        <v>364</v>
      </c>
      <c r="AY100" s="6">
        <v>331</v>
      </c>
      <c r="AZ100" s="106"/>
      <c r="BA100" s="4">
        <v>232</v>
      </c>
      <c r="BB100" s="4">
        <v>232</v>
      </c>
      <c r="BC100" s="4">
        <v>236</v>
      </c>
      <c r="BD100" s="4">
        <v>278</v>
      </c>
      <c r="BE100" s="4">
        <v>291</v>
      </c>
      <c r="BF100" s="4">
        <v>314</v>
      </c>
      <c r="BG100" s="4">
        <v>366</v>
      </c>
      <c r="BH100" s="4">
        <v>314</v>
      </c>
      <c r="BI100" s="4">
        <f>129+202</f>
        <v>331</v>
      </c>
      <c r="BJ100" s="4">
        <v>320</v>
      </c>
      <c r="BL100" s="4">
        <v>177</v>
      </c>
      <c r="BM100" s="4">
        <f>248+522</f>
        <v>770</v>
      </c>
      <c r="BN100" s="4">
        <f>463+201</f>
        <v>664</v>
      </c>
      <c r="BO100" s="4">
        <f>171+98</f>
        <v>269</v>
      </c>
      <c r="BP100" s="4">
        <f>189+125</f>
        <v>314</v>
      </c>
      <c r="BQ100" s="7">
        <f>205+150</f>
        <v>355</v>
      </c>
      <c r="BR100" s="7">
        <f>185+162</f>
        <v>347</v>
      </c>
      <c r="BS100" s="7">
        <v>292</v>
      </c>
      <c r="BT100" s="7">
        <v>312</v>
      </c>
      <c r="BU100" s="101">
        <v>292</v>
      </c>
      <c r="BV100" s="101">
        <v>607</v>
      </c>
      <c r="BW100" s="101">
        <v>561</v>
      </c>
      <c r="BX100" s="101">
        <v>644</v>
      </c>
      <c r="BY100" s="126">
        <v>602</v>
      </c>
    </row>
    <row r="101" spans="1:77" ht="12.75" customHeight="1">
      <c r="A101" s="9" t="s">
        <v>36</v>
      </c>
      <c r="B101" s="89">
        <v>0.7023319615912208</v>
      </c>
      <c r="C101" s="85">
        <v>0.7424242424242424</v>
      </c>
      <c r="D101" s="25">
        <v>0.7492957746478873</v>
      </c>
      <c r="E101" s="25">
        <v>0.7395672333848532</v>
      </c>
      <c r="F101" s="25">
        <v>0.7319054652880355</v>
      </c>
      <c r="G101" s="25">
        <v>0.5558659217877095</v>
      </c>
      <c r="H101" s="25">
        <v>0.6438809261300992</v>
      </c>
      <c r="I101" s="25">
        <v>0.3900184842883549</v>
      </c>
      <c r="J101" s="25">
        <v>0.6658986175115207</v>
      </c>
      <c r="K101" s="25">
        <v>0.6932084309133489</v>
      </c>
      <c r="L101" s="25">
        <v>0.7641357027463651</v>
      </c>
      <c r="M101" s="25">
        <v>0.554140127388535</v>
      </c>
      <c r="N101" s="25">
        <v>0.612636165577342</v>
      </c>
      <c r="O101" s="25">
        <v>0.6473807662236122</v>
      </c>
      <c r="P101" s="25">
        <v>0.8259325044404974</v>
      </c>
      <c r="Q101" s="17">
        <v>0.7980613893376414</v>
      </c>
      <c r="R101" s="17">
        <v>0.5913853317811408</v>
      </c>
      <c r="S101" s="61">
        <v>0.5958986731001207</v>
      </c>
      <c r="T101" s="17">
        <v>0.746268656716418</v>
      </c>
      <c r="U101" s="17">
        <v>0.7727272727272727</v>
      </c>
      <c r="V101" s="17">
        <f t="shared" si="27"/>
        <v>0.7805695142378559</v>
      </c>
      <c r="W101" s="17">
        <f t="shared" si="27"/>
        <v>0.7220982142857143</v>
      </c>
      <c r="X101" s="17">
        <f t="shared" si="27"/>
        <v>0.6654632972322503</v>
      </c>
      <c r="Y101" s="17">
        <f t="shared" si="27"/>
        <v>0.7077244258872651</v>
      </c>
      <c r="Z101" s="78">
        <f t="shared" si="26"/>
        <v>0.7054347826086956</v>
      </c>
      <c r="AA101" s="94">
        <f aca="true" t="shared" si="28" ref="AA101:AU101">SUM(AA95:AA100)</f>
        <v>1024</v>
      </c>
      <c r="AB101" s="92">
        <f t="shared" si="28"/>
        <v>1127</v>
      </c>
      <c r="AC101" s="26">
        <f t="shared" si="28"/>
        <v>1064</v>
      </c>
      <c r="AD101" s="26">
        <f t="shared" si="28"/>
        <v>957</v>
      </c>
      <c r="AE101" s="26">
        <f t="shared" si="28"/>
        <v>991</v>
      </c>
      <c r="AF101" s="26">
        <f t="shared" si="28"/>
        <v>398</v>
      </c>
      <c r="AG101" s="26">
        <f t="shared" si="28"/>
        <v>584</v>
      </c>
      <c r="AH101" s="26">
        <f t="shared" si="28"/>
        <v>211</v>
      </c>
      <c r="AI101" s="26">
        <f t="shared" si="28"/>
        <v>578</v>
      </c>
      <c r="AJ101" s="26">
        <f t="shared" si="28"/>
        <v>592</v>
      </c>
      <c r="AK101" s="26">
        <f t="shared" si="28"/>
        <v>473</v>
      </c>
      <c r="AL101" s="26">
        <f t="shared" si="28"/>
        <v>435</v>
      </c>
      <c r="AM101" s="26">
        <f t="shared" si="28"/>
        <v>1406</v>
      </c>
      <c r="AN101" s="26">
        <f t="shared" si="28"/>
        <v>828</v>
      </c>
      <c r="AO101" s="26">
        <f t="shared" si="28"/>
        <v>465</v>
      </c>
      <c r="AP101" s="26">
        <f t="shared" si="28"/>
        <v>494</v>
      </c>
      <c r="AQ101" s="26">
        <f t="shared" si="28"/>
        <v>508</v>
      </c>
      <c r="AR101" s="53">
        <f t="shared" si="28"/>
        <v>494</v>
      </c>
      <c r="AS101" s="26">
        <f t="shared" si="28"/>
        <v>450</v>
      </c>
      <c r="AT101" s="26">
        <f t="shared" si="28"/>
        <v>493</v>
      </c>
      <c r="AU101" s="26">
        <f t="shared" si="28"/>
        <v>466</v>
      </c>
      <c r="AV101" s="26">
        <f aca="true" t="shared" si="29" ref="AV101:BX101">SUM(AV95:AV100)</f>
        <v>647</v>
      </c>
      <c r="AW101" s="26">
        <f t="shared" si="29"/>
        <v>553</v>
      </c>
      <c r="AX101" s="26">
        <f>SUM(AX95:AX100)</f>
        <v>678</v>
      </c>
      <c r="AY101" s="26">
        <f>SUM(AY95:AY100)</f>
        <v>649</v>
      </c>
      <c r="AZ101" s="92"/>
      <c r="BA101" s="26">
        <f t="shared" si="29"/>
        <v>1458</v>
      </c>
      <c r="BB101" s="26">
        <f t="shared" si="29"/>
        <v>1518</v>
      </c>
      <c r="BC101" s="26">
        <f t="shared" si="29"/>
        <v>1420</v>
      </c>
      <c r="BD101" s="26">
        <f t="shared" si="29"/>
        <v>1294</v>
      </c>
      <c r="BE101" s="26">
        <f t="shared" si="29"/>
        <v>1354</v>
      </c>
      <c r="BF101" s="26">
        <f t="shared" si="29"/>
        <v>716</v>
      </c>
      <c r="BG101" s="26">
        <f t="shared" si="29"/>
        <v>907</v>
      </c>
      <c r="BH101" s="26">
        <f t="shared" si="29"/>
        <v>541</v>
      </c>
      <c r="BI101" s="26">
        <f t="shared" si="29"/>
        <v>868</v>
      </c>
      <c r="BJ101" s="26">
        <f t="shared" si="29"/>
        <v>854</v>
      </c>
      <c r="BK101" s="26">
        <f t="shared" si="29"/>
        <v>619</v>
      </c>
      <c r="BL101" s="26">
        <f t="shared" si="29"/>
        <v>785</v>
      </c>
      <c r="BM101" s="26">
        <f t="shared" si="29"/>
        <v>2295</v>
      </c>
      <c r="BN101" s="26">
        <f t="shared" si="29"/>
        <v>1279</v>
      </c>
      <c r="BO101" s="26">
        <f t="shared" si="29"/>
        <v>563</v>
      </c>
      <c r="BP101" s="26">
        <f t="shared" si="29"/>
        <v>619</v>
      </c>
      <c r="BQ101" s="26">
        <f t="shared" si="29"/>
        <v>859</v>
      </c>
      <c r="BR101" s="26">
        <f t="shared" si="29"/>
        <v>829</v>
      </c>
      <c r="BS101" s="26">
        <f t="shared" si="29"/>
        <v>603</v>
      </c>
      <c r="BT101" s="26">
        <f t="shared" si="29"/>
        <v>638</v>
      </c>
      <c r="BU101" s="92">
        <f t="shared" si="29"/>
        <v>597</v>
      </c>
      <c r="BV101" s="92">
        <f t="shared" si="29"/>
        <v>896</v>
      </c>
      <c r="BW101" s="92">
        <f t="shared" si="29"/>
        <v>831</v>
      </c>
      <c r="BX101" s="92">
        <f t="shared" si="29"/>
        <v>958</v>
      </c>
      <c r="BY101" s="127">
        <f>SUM(BY95:BY100)</f>
        <v>920</v>
      </c>
    </row>
    <row r="102" spans="1:75" ht="12.75" customHeight="1">
      <c r="A102" s="24"/>
      <c r="B102" s="89"/>
      <c r="C102" s="8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17"/>
      <c r="R102" s="17"/>
      <c r="S102" s="61"/>
      <c r="T102" s="17"/>
      <c r="U102" s="17"/>
      <c r="V102" s="17"/>
      <c r="W102" s="17"/>
      <c r="X102" s="17"/>
      <c r="Y102" s="17"/>
      <c r="Z102" s="78"/>
      <c r="AA102" s="94"/>
      <c r="AB102" s="92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53"/>
      <c r="AS102" s="26"/>
      <c r="AT102" s="26"/>
      <c r="AU102" s="26"/>
      <c r="AV102" s="26"/>
      <c r="AW102" s="26"/>
      <c r="AX102" s="26"/>
      <c r="AY102" s="26"/>
      <c r="AZ102" s="92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92"/>
      <c r="BV102" s="92"/>
      <c r="BW102" s="92"/>
    </row>
    <row r="103" spans="1:77" ht="23.25" customHeight="1">
      <c r="A103" s="23" t="s">
        <v>95</v>
      </c>
      <c r="B103" s="89">
        <v>0.5135266047145779</v>
      </c>
      <c r="C103" s="85">
        <v>0.5171219563911369</v>
      </c>
      <c r="D103" s="25">
        <v>0.5187301025822426</v>
      </c>
      <c r="E103" s="25">
        <v>0.517612993866292</v>
      </c>
      <c r="F103" s="25">
        <v>0.5264682442373713</v>
      </c>
      <c r="G103" s="25">
        <v>0.5200600538105926</v>
      </c>
      <c r="H103" s="25">
        <v>0.540435948929184</v>
      </c>
      <c r="I103" s="25">
        <v>0.5336666530060243</v>
      </c>
      <c r="J103" s="25">
        <v>0.5420619038956314</v>
      </c>
      <c r="K103" s="25">
        <v>0.5401701688797216</v>
      </c>
      <c r="L103" s="25">
        <v>0.5396538490108204</v>
      </c>
      <c r="M103" s="25">
        <v>0.5542283205543534</v>
      </c>
      <c r="N103" s="25">
        <v>0.5576110499591663</v>
      </c>
      <c r="O103" s="25">
        <v>0.5700956995179047</v>
      </c>
      <c r="P103" s="25">
        <v>0.5747597693786035</v>
      </c>
      <c r="Q103" s="17">
        <v>0.573719123970799</v>
      </c>
      <c r="R103" s="17">
        <v>0.5757712251713833</v>
      </c>
      <c r="S103" s="61">
        <v>0.5789851932487132</v>
      </c>
      <c r="T103" s="17">
        <v>0.5750470416056868</v>
      </c>
      <c r="U103" s="17">
        <v>0.5802907915993538</v>
      </c>
      <c r="V103" s="17">
        <f>+AU103/BU103</f>
        <v>0.5823725119027132</v>
      </c>
      <c r="W103" s="17">
        <f>+AV103/BV103</f>
        <v>0.5810068224654673</v>
      </c>
      <c r="X103" s="17">
        <f>+AW103/BW103</f>
        <v>0.5793652163407604</v>
      </c>
      <c r="Y103" s="17">
        <f>+AX103/BX103</f>
        <v>0.586812368061592</v>
      </c>
      <c r="Z103" s="78">
        <f>SUM(AY103/BY103)</f>
        <v>0.5898391318173294</v>
      </c>
      <c r="AA103" s="94">
        <f aca="true" t="shared" si="30" ref="AA103:AU103">SUM(AA91+AA101)</f>
        <v>28625</v>
      </c>
      <c r="AB103" s="52">
        <f t="shared" si="30"/>
        <v>29266</v>
      </c>
      <c r="AC103" s="14">
        <f t="shared" si="30"/>
        <v>29329</v>
      </c>
      <c r="AD103" s="14">
        <f t="shared" si="30"/>
        <v>30211</v>
      </c>
      <c r="AE103" s="14">
        <f t="shared" si="30"/>
        <v>34351</v>
      </c>
      <c r="AF103" s="14">
        <f t="shared" si="30"/>
        <v>34986</v>
      </c>
      <c r="AG103" s="14">
        <f t="shared" si="30"/>
        <v>36868</v>
      </c>
      <c r="AH103" s="14">
        <f t="shared" si="30"/>
        <v>39066</v>
      </c>
      <c r="AI103" s="14">
        <f t="shared" si="30"/>
        <v>41716</v>
      </c>
      <c r="AJ103" s="14">
        <f t="shared" si="30"/>
        <v>41901</v>
      </c>
      <c r="AK103" s="14">
        <f t="shared" si="30"/>
        <v>43590</v>
      </c>
      <c r="AL103" s="14">
        <f t="shared" si="30"/>
        <v>44310</v>
      </c>
      <c r="AM103" s="14">
        <f t="shared" si="30"/>
        <v>47112</v>
      </c>
      <c r="AN103" s="14">
        <f t="shared" si="30"/>
        <v>47538</v>
      </c>
      <c r="AO103" s="14">
        <f t="shared" si="30"/>
        <v>49346</v>
      </c>
      <c r="AP103" s="14">
        <f t="shared" si="30"/>
        <v>51633</v>
      </c>
      <c r="AQ103" s="14">
        <f t="shared" si="30"/>
        <v>52409</v>
      </c>
      <c r="AR103" s="54">
        <f t="shared" si="30"/>
        <v>54783</v>
      </c>
      <c r="AS103" s="14">
        <f t="shared" si="30"/>
        <v>55009</v>
      </c>
      <c r="AT103" s="14">
        <f t="shared" si="30"/>
        <v>57472</v>
      </c>
      <c r="AU103" s="14">
        <f t="shared" si="30"/>
        <v>60915</v>
      </c>
      <c r="AV103" s="14">
        <f aca="true" t="shared" si="31" ref="AV103:BW103">SUM(AV91+AV101)</f>
        <v>65659</v>
      </c>
      <c r="AW103" s="14">
        <f>SUM(AW91+AW101)</f>
        <v>67138</v>
      </c>
      <c r="AX103" s="14">
        <f>SUM(AX91+AX101)</f>
        <v>70884</v>
      </c>
      <c r="AY103" s="14">
        <f>SUM(AY91+AY101)</f>
        <v>72342</v>
      </c>
      <c r="AZ103" s="52"/>
      <c r="BA103" s="14">
        <f t="shared" si="31"/>
        <v>55742</v>
      </c>
      <c r="BB103" s="14">
        <f t="shared" si="31"/>
        <v>56594</v>
      </c>
      <c r="BC103" s="14">
        <f t="shared" si="31"/>
        <v>56540</v>
      </c>
      <c r="BD103" s="14">
        <f t="shared" si="31"/>
        <v>58366</v>
      </c>
      <c r="BE103" s="14">
        <f t="shared" si="31"/>
        <v>65248</v>
      </c>
      <c r="BF103" s="14">
        <f t="shared" si="31"/>
        <v>67273</v>
      </c>
      <c r="BG103" s="14">
        <f t="shared" si="31"/>
        <v>68219</v>
      </c>
      <c r="BH103" s="14">
        <f t="shared" si="31"/>
        <v>73203</v>
      </c>
      <c r="BI103" s="14">
        <f t="shared" si="31"/>
        <v>76958</v>
      </c>
      <c r="BJ103" s="14">
        <f t="shared" si="31"/>
        <v>77570</v>
      </c>
      <c r="BK103" s="14">
        <f t="shared" si="31"/>
        <v>80774</v>
      </c>
      <c r="BL103" s="14">
        <f t="shared" si="31"/>
        <v>79949</v>
      </c>
      <c r="BM103" s="14">
        <f t="shared" si="31"/>
        <v>84489</v>
      </c>
      <c r="BN103" s="14">
        <f t="shared" si="31"/>
        <v>83386</v>
      </c>
      <c r="BO103" s="14">
        <f t="shared" si="31"/>
        <v>85855</v>
      </c>
      <c r="BP103" s="14">
        <f t="shared" si="31"/>
        <v>89997</v>
      </c>
      <c r="BQ103" s="14">
        <f t="shared" si="31"/>
        <v>91024</v>
      </c>
      <c r="BR103" s="14">
        <f t="shared" si="31"/>
        <v>94619</v>
      </c>
      <c r="BS103" s="14">
        <f t="shared" si="31"/>
        <v>95660</v>
      </c>
      <c r="BT103" s="14">
        <f t="shared" si="31"/>
        <v>99040</v>
      </c>
      <c r="BU103" s="52">
        <f t="shared" si="31"/>
        <v>104598</v>
      </c>
      <c r="BV103" s="52">
        <f t="shared" si="31"/>
        <v>113009</v>
      </c>
      <c r="BW103" s="52">
        <f t="shared" si="31"/>
        <v>115882</v>
      </c>
      <c r="BX103" s="106">
        <f>+BX101+BX91</f>
        <v>120795</v>
      </c>
      <c r="BY103" s="6">
        <f>SUM(BY101,BY91)</f>
        <v>122647</v>
      </c>
    </row>
    <row r="104" spans="1:75" ht="12.75" customHeight="1">
      <c r="A104" s="24"/>
      <c r="B104" s="89"/>
      <c r="C104" s="8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17"/>
      <c r="R104" s="17"/>
      <c r="S104" s="61"/>
      <c r="T104" s="17"/>
      <c r="U104" s="17"/>
      <c r="V104" s="17"/>
      <c r="W104" s="17"/>
      <c r="X104" s="17"/>
      <c r="Y104" s="17"/>
      <c r="Z104" s="43"/>
      <c r="AA104" s="94"/>
      <c r="AB104" s="92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53"/>
      <c r="AS104" s="26"/>
      <c r="AT104" s="26"/>
      <c r="AU104" s="26"/>
      <c r="AV104" s="26"/>
      <c r="AW104" s="26"/>
      <c r="AX104" s="26"/>
      <c r="AY104" s="26"/>
      <c r="AZ104" s="92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92"/>
      <c r="BV104" s="92"/>
      <c r="BW104" s="92"/>
    </row>
    <row r="105" spans="1:77" ht="12.75" customHeight="1" thickBot="1">
      <c r="A105" s="15" t="s">
        <v>96</v>
      </c>
      <c r="B105" s="98">
        <v>0.518670275801451</v>
      </c>
      <c r="C105" s="43">
        <v>0.5207449971974893</v>
      </c>
      <c r="D105" s="17">
        <v>0.5250219529522859</v>
      </c>
      <c r="E105" s="17">
        <v>0.5308632194228772</v>
      </c>
      <c r="F105" s="17">
        <v>0.5387541424932485</v>
      </c>
      <c r="G105" s="17">
        <v>0.5430242029322784</v>
      </c>
      <c r="H105" s="17">
        <v>0.5512966811209475</v>
      </c>
      <c r="I105" s="17">
        <v>0.5517830981353641</v>
      </c>
      <c r="J105" s="17">
        <v>0.5580474600739872</v>
      </c>
      <c r="K105" s="17">
        <v>0.557187652972183</v>
      </c>
      <c r="L105" s="17">
        <v>0.559266956224133</v>
      </c>
      <c r="M105" s="17">
        <v>0.5629164665219606</v>
      </c>
      <c r="N105" s="17">
        <v>0.5683124176762633</v>
      </c>
      <c r="O105" s="17">
        <v>0.5744040324970097</v>
      </c>
      <c r="P105" s="17">
        <v>0.5757661449666279</v>
      </c>
      <c r="Q105" s="17">
        <v>0.5744326766827266</v>
      </c>
      <c r="R105" s="17">
        <v>0.5745010263200298</v>
      </c>
      <c r="S105" s="64">
        <v>0.5760096345209785</v>
      </c>
      <c r="T105" s="17">
        <v>0.5760641247542388</v>
      </c>
      <c r="U105" s="17">
        <v>0.5773272413894603</v>
      </c>
      <c r="V105" s="17">
        <f>+AU105/BU105</f>
        <v>0.5807082603203064</v>
      </c>
      <c r="W105" s="17">
        <f>+AV105/BV105</f>
        <v>0.581904550742157</v>
      </c>
      <c r="X105" s="17">
        <f>+AW105/BW105</f>
        <v>0.5814436983080289</v>
      </c>
      <c r="Y105" s="17">
        <f>+AX105/BX105</f>
        <v>0.5829662912054638</v>
      </c>
      <c r="Z105" s="47">
        <f>SUM(AY105/BY105)</f>
        <v>0.5835654106155569</v>
      </c>
      <c r="AA105" s="100">
        <f aca="true" t="shared" si="32" ref="AA105:AU105">SUM(AA50+AA103)</f>
        <v>118609</v>
      </c>
      <c r="AB105" s="52">
        <f t="shared" si="32"/>
        <v>121708</v>
      </c>
      <c r="AC105" s="14">
        <f t="shared" si="32"/>
        <v>118981</v>
      </c>
      <c r="AD105" s="14">
        <f t="shared" si="32"/>
        <v>120610</v>
      </c>
      <c r="AE105" s="14">
        <f t="shared" si="32"/>
        <v>126479</v>
      </c>
      <c r="AF105" s="14">
        <f t="shared" si="32"/>
        <v>130669</v>
      </c>
      <c r="AG105" s="14">
        <f t="shared" si="32"/>
        <v>137688</v>
      </c>
      <c r="AH105" s="14">
        <f t="shared" si="32"/>
        <v>146510</v>
      </c>
      <c r="AI105" s="14">
        <f t="shared" si="32"/>
        <v>154621</v>
      </c>
      <c r="AJ105" s="14">
        <f t="shared" si="32"/>
        <v>157079</v>
      </c>
      <c r="AK105" s="14">
        <f t="shared" si="32"/>
        <v>158508</v>
      </c>
      <c r="AL105" s="14">
        <f t="shared" si="32"/>
        <v>155862</v>
      </c>
      <c r="AM105" s="14">
        <f t="shared" si="32"/>
        <v>157052</v>
      </c>
      <c r="AN105" s="14">
        <f t="shared" si="32"/>
        <v>157030</v>
      </c>
      <c r="AO105" s="14">
        <f t="shared" si="32"/>
        <v>158813</v>
      </c>
      <c r="AP105" s="14">
        <f t="shared" si="32"/>
        <v>161195</v>
      </c>
      <c r="AQ105" s="14">
        <f t="shared" si="32"/>
        <v>164012</v>
      </c>
      <c r="AR105" s="67">
        <f t="shared" si="32"/>
        <v>169314</v>
      </c>
      <c r="AS105" s="14">
        <f t="shared" si="32"/>
        <v>171405</v>
      </c>
      <c r="AT105" s="14">
        <f t="shared" si="32"/>
        <v>176523</v>
      </c>
      <c r="AU105" s="14">
        <f t="shared" si="32"/>
        <v>185250</v>
      </c>
      <c r="AV105" s="14">
        <f aca="true" t="shared" si="33" ref="AV105:BW105">SUM(AV50+AV103)</f>
        <v>191588</v>
      </c>
      <c r="AW105" s="14">
        <f>SUM(AW50+AW103)</f>
        <v>192134</v>
      </c>
      <c r="AX105" s="81">
        <f>SUM(AX50+AX103)</f>
        <v>197344</v>
      </c>
      <c r="AY105" s="81">
        <f>SUM(AY50+AY103)</f>
        <v>199067</v>
      </c>
      <c r="AZ105" s="52"/>
      <c r="BA105" s="14">
        <f t="shared" si="33"/>
        <v>228282</v>
      </c>
      <c r="BB105" s="14">
        <f t="shared" si="33"/>
        <v>233309</v>
      </c>
      <c r="BC105" s="14">
        <f t="shared" si="33"/>
        <v>226302</v>
      </c>
      <c r="BD105" s="14">
        <f t="shared" si="33"/>
        <v>226678</v>
      </c>
      <c r="BE105" s="14">
        <f t="shared" si="33"/>
        <v>234161</v>
      </c>
      <c r="BF105" s="14">
        <f t="shared" si="33"/>
        <v>240632</v>
      </c>
      <c r="BG105" s="14">
        <f t="shared" si="33"/>
        <v>249753</v>
      </c>
      <c r="BH105" s="14">
        <f t="shared" si="33"/>
        <v>265521</v>
      </c>
      <c r="BI105" s="14">
        <f t="shared" si="33"/>
        <v>277075</v>
      </c>
      <c r="BJ105" s="14">
        <f t="shared" si="33"/>
        <v>281914</v>
      </c>
      <c r="BK105" s="14">
        <f t="shared" si="33"/>
        <v>283421</v>
      </c>
      <c r="BL105" s="14">
        <f t="shared" si="33"/>
        <v>276883</v>
      </c>
      <c r="BM105" s="14">
        <f t="shared" si="33"/>
        <v>276348</v>
      </c>
      <c r="BN105" s="14">
        <f t="shared" si="33"/>
        <v>273379</v>
      </c>
      <c r="BO105" s="14">
        <f t="shared" si="33"/>
        <v>275829</v>
      </c>
      <c r="BP105" s="14">
        <f t="shared" si="33"/>
        <v>280616</v>
      </c>
      <c r="BQ105" s="14">
        <f t="shared" si="33"/>
        <v>285486</v>
      </c>
      <c r="BR105" s="14">
        <f t="shared" si="33"/>
        <v>293943</v>
      </c>
      <c r="BS105" s="14">
        <f t="shared" si="33"/>
        <v>297545</v>
      </c>
      <c r="BT105" s="14">
        <f t="shared" si="33"/>
        <v>305759</v>
      </c>
      <c r="BU105" s="52">
        <f t="shared" si="33"/>
        <v>319007</v>
      </c>
      <c r="BV105" s="52">
        <f t="shared" si="33"/>
        <v>329243</v>
      </c>
      <c r="BW105" s="52">
        <f t="shared" si="33"/>
        <v>330443</v>
      </c>
      <c r="BX105" s="106">
        <f>+BX103+BX50</f>
        <v>338517</v>
      </c>
      <c r="BY105" s="6">
        <f>SUM(BY103,BY50)</f>
        <v>341122</v>
      </c>
    </row>
    <row r="106" spans="1:68" ht="12.75" customHeight="1" thickTop="1">
      <c r="A106" s="10" t="s">
        <v>56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</row>
    <row r="107" spans="1:68" ht="12.75" customHeight="1">
      <c r="A107" s="8" t="s">
        <v>97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</row>
    <row r="108" spans="1:68" ht="12.75" customHeight="1">
      <c r="A108" s="8" t="s">
        <v>98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</row>
    <row r="109" spans="1:49" ht="12.75" customHeight="1">
      <c r="A109" s="9" t="s">
        <v>58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</row>
    <row r="110" spans="1:26" ht="12.75" customHeight="1">
      <c r="A110" s="2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4:26" ht="12.75" customHeight="1"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4:26" ht="12.75" customHeight="1"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4:26" ht="12.75" customHeight="1"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4:26" ht="12.75" customHeight="1"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4:26" ht="12.75" customHeight="1"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4:26" ht="12.75" customHeight="1"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4:26" ht="12.75" customHeight="1"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4:26" ht="12.75" customHeight="1"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4:26" ht="12.75" customHeight="1"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4:26" ht="12.75" customHeight="1"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4:26" ht="12.75" customHeight="1"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4:26" ht="12.75" customHeight="1"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4:26" ht="12.75" customHeight="1"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4:26" ht="12.75" customHeight="1"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4:26" ht="12.75" customHeight="1"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4:26" ht="12.75" customHeight="1"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4:26" ht="12.75" customHeight="1"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4:26" ht="12.75" customHeight="1"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4:26" ht="12.75" customHeight="1"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4:26" ht="12.75" customHeight="1"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4:26" ht="12.75" customHeight="1"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4:26" ht="12.75" customHeight="1"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4:26" ht="12.75" customHeight="1"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4:26" ht="12.75" customHeight="1"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4:26" ht="12.75" customHeight="1"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4:26" ht="12.75" customHeight="1"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4:26" ht="12.75" customHeight="1"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4:26" ht="12.75" customHeight="1"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4:26" ht="12.75" customHeight="1"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4:26" ht="12.75" customHeight="1"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4:26" ht="12.75" customHeight="1"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4:26" ht="12.75" customHeight="1"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4:26" ht="12.75" customHeight="1"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4:26" ht="12.75" customHeight="1"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4:26" ht="12.75" customHeight="1"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4:26" ht="12.75" customHeight="1"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4:26" ht="12.75" customHeight="1"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4:26" ht="12.75" customHeight="1"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4:26" ht="12.75" customHeight="1"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4:26" ht="12.75" customHeight="1"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4:26" ht="12.75" customHeight="1"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4:26" ht="12.75" customHeight="1"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4:26" ht="12.75" customHeight="1"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4:26" ht="12.75" customHeight="1"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4:26" ht="12.75" customHeight="1"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4:26" ht="12.75" customHeight="1"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4:26" ht="12.75" customHeight="1"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</sheetData>
  <printOptions/>
  <pageMargins left="1.04" right="0.5" top="1" bottom="0.3" header="0.5" footer="0.5"/>
  <pageSetup horizontalDpi="600" verticalDpi="600" orientation="portrait" scale="8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Connie Lockwood</cp:lastModifiedBy>
  <cp:lastPrinted>2007-09-24T19:10:51Z</cp:lastPrinted>
  <dcterms:created xsi:type="dcterms:W3CDTF">2003-06-19T20:33:20Z</dcterms:created>
  <dcterms:modified xsi:type="dcterms:W3CDTF">2007-10-26T14:42:14Z</dcterms:modified>
  <cp:category/>
  <cp:version/>
  <cp:contentType/>
  <cp:contentStatus/>
</cp:coreProperties>
</file>