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25" yWindow="-60" windowWidth="12120" windowHeight="9090"/>
  </bookViews>
  <sheets>
    <sheet name="Table 84 - Trend in FT Faculty" sheetId="1" r:id="rId1"/>
  </sheets>
  <definedNames>
    <definedName name="_xlnm.Print_Area" localSheetId="0">'Table 84 - Trend in FT Faculty'!$A$1:$X$54</definedName>
  </definedNames>
  <calcPr calcId="125725"/>
</workbook>
</file>

<file path=xl/calcChain.xml><?xml version="1.0" encoding="utf-8"?>
<calcChain xmlns="http://schemas.openxmlformats.org/spreadsheetml/2006/main">
  <c r="X51" i="1"/>
  <c r="X49"/>
  <c r="X23"/>
  <c r="W49"/>
  <c r="W23"/>
  <c r="W51"/>
  <c r="V49"/>
  <c r="V23"/>
  <c r="V51" s="1"/>
  <c r="U47"/>
  <c r="U41"/>
  <c r="U35"/>
  <c r="U30"/>
  <c r="U27"/>
  <c r="U19"/>
  <c r="U11"/>
  <c r="U12"/>
  <c r="U13"/>
  <c r="U16"/>
  <c r="U17"/>
  <c r="U18"/>
  <c r="U20"/>
  <c r="U21"/>
  <c r="U14"/>
  <c r="U22"/>
  <c r="T23"/>
  <c r="T49"/>
  <c r="S49"/>
  <c r="S23"/>
  <c r="S51" s="1"/>
  <c r="R19"/>
  <c r="R10"/>
  <c r="R11"/>
  <c r="R12"/>
  <c r="R15"/>
  <c r="R16"/>
  <c r="R17"/>
  <c r="R13"/>
  <c r="R18"/>
  <c r="R29"/>
  <c r="R33"/>
  <c r="R34"/>
  <c r="R35"/>
  <c r="R38"/>
  <c r="R41"/>
  <c r="R43"/>
  <c r="R44"/>
  <c r="R45"/>
  <c r="R48"/>
  <c r="C19"/>
  <c r="K19"/>
  <c r="M19"/>
  <c r="N19"/>
  <c r="O19"/>
  <c r="P19"/>
  <c r="Q19"/>
  <c r="B10"/>
  <c r="L10"/>
  <c r="M10"/>
  <c r="N10"/>
  <c r="O10"/>
  <c r="C11"/>
  <c r="K11"/>
  <c r="L11"/>
  <c r="M11"/>
  <c r="N11"/>
  <c r="O11"/>
  <c r="P11"/>
  <c r="B12"/>
  <c r="C12"/>
  <c r="K12"/>
  <c r="L12"/>
  <c r="M12"/>
  <c r="N12"/>
  <c r="O12"/>
  <c r="P12"/>
  <c r="Q12"/>
  <c r="B15"/>
  <c r="K15"/>
  <c r="M15"/>
  <c r="N15"/>
  <c r="O15"/>
  <c r="P15"/>
  <c r="K16"/>
  <c r="L16"/>
  <c r="M16"/>
  <c r="N16"/>
  <c r="O16"/>
  <c r="P16"/>
  <c r="Q16"/>
  <c r="B17"/>
  <c r="K17"/>
  <c r="L17"/>
  <c r="M17"/>
  <c r="N17"/>
  <c r="O17"/>
  <c r="P17"/>
  <c r="K13"/>
  <c r="L13"/>
  <c r="M13"/>
  <c r="N13"/>
  <c r="O13"/>
  <c r="P13"/>
  <c r="Q13"/>
  <c r="B18"/>
  <c r="K18"/>
  <c r="L18"/>
  <c r="N18"/>
  <c r="O18"/>
  <c r="P18"/>
  <c r="Q18"/>
  <c r="B20"/>
  <c r="K20"/>
  <c r="L20"/>
  <c r="N20"/>
  <c r="O20"/>
  <c r="P20"/>
  <c r="Q20"/>
  <c r="B21"/>
  <c r="K21"/>
  <c r="L21"/>
  <c r="N21"/>
  <c r="O21"/>
  <c r="P21"/>
  <c r="Q21"/>
  <c r="B14"/>
  <c r="K14"/>
  <c r="L14"/>
  <c r="N14"/>
  <c r="O14"/>
  <c r="P14"/>
  <c r="Q14"/>
  <c r="K22"/>
  <c r="K23" s="1"/>
  <c r="L22"/>
  <c r="N22"/>
  <c r="O22"/>
  <c r="P22"/>
  <c r="Q22"/>
  <c r="B23"/>
  <c r="C23"/>
  <c r="D23"/>
  <c r="E23"/>
  <c r="F23"/>
  <c r="G23"/>
  <c r="H23"/>
  <c r="I23"/>
  <c r="J23"/>
  <c r="L23"/>
  <c r="M23"/>
  <c r="N23"/>
  <c r="O23"/>
  <c r="P23"/>
  <c r="Q23"/>
  <c r="C27"/>
  <c r="K27"/>
  <c r="L27"/>
  <c r="M27"/>
  <c r="P27"/>
  <c r="Q27"/>
  <c r="L28"/>
  <c r="M28"/>
  <c r="O28"/>
  <c r="P28"/>
  <c r="K29"/>
  <c r="L29"/>
  <c r="M29"/>
  <c r="N29"/>
  <c r="O29"/>
  <c r="N30"/>
  <c r="Q30"/>
  <c r="K33"/>
  <c r="L33"/>
  <c r="M33"/>
  <c r="N33"/>
  <c r="O33"/>
  <c r="P33"/>
  <c r="B34"/>
  <c r="K34"/>
  <c r="L34"/>
  <c r="M34"/>
  <c r="N34"/>
  <c r="P34"/>
  <c r="K35"/>
  <c r="L35"/>
  <c r="M35"/>
  <c r="N35"/>
  <c r="O35"/>
  <c r="P35"/>
  <c r="K37"/>
  <c r="L37"/>
  <c r="M37"/>
  <c r="N37"/>
  <c r="P37"/>
  <c r="Q37"/>
  <c r="K38"/>
  <c r="L38"/>
  <c r="M38"/>
  <c r="N38"/>
  <c r="O38"/>
  <c r="P38"/>
  <c r="Q38"/>
  <c r="K40"/>
  <c r="L40"/>
  <c r="M40"/>
  <c r="P40"/>
  <c r="Q40"/>
  <c r="K41"/>
  <c r="L41"/>
  <c r="M41"/>
  <c r="N41"/>
  <c r="O41"/>
  <c r="P41"/>
  <c r="K47"/>
  <c r="L47"/>
  <c r="O47"/>
  <c r="P47"/>
  <c r="Q47"/>
  <c r="K42"/>
  <c r="L42"/>
  <c r="M42"/>
  <c r="O42"/>
  <c r="P42"/>
  <c r="K43"/>
  <c r="L43"/>
  <c r="N43"/>
  <c r="O43"/>
  <c r="P43"/>
  <c r="K44"/>
  <c r="L44"/>
  <c r="N44"/>
  <c r="O44"/>
  <c r="P44"/>
  <c r="K45"/>
  <c r="L45"/>
  <c r="N45"/>
  <c r="P45"/>
  <c r="L39"/>
  <c r="M39"/>
  <c r="N39"/>
  <c r="O39"/>
  <c r="Q39"/>
  <c r="K48"/>
  <c r="N48"/>
  <c r="P48"/>
  <c r="B49"/>
  <c r="C49"/>
  <c r="D49"/>
  <c r="E49"/>
  <c r="F49"/>
  <c r="G49"/>
  <c r="H49"/>
  <c r="I49"/>
  <c r="J49"/>
  <c r="K49"/>
  <c r="L49"/>
  <c r="M49"/>
  <c r="N49"/>
  <c r="O49"/>
  <c r="P49"/>
  <c r="Q49"/>
  <c r="B51"/>
  <c r="C51"/>
  <c r="D51"/>
  <c r="E51"/>
  <c r="F51"/>
  <c r="G51"/>
  <c r="H51"/>
  <c r="I51"/>
  <c r="J51"/>
  <c r="L51"/>
  <c r="M51"/>
  <c r="N51"/>
  <c r="O51"/>
  <c r="P51"/>
  <c r="Q51"/>
  <c r="R23" l="1"/>
  <c r="U23"/>
  <c r="K51"/>
  <c r="R49"/>
  <c r="R51" s="1"/>
  <c r="T51"/>
  <c r="U49"/>
  <c r="U51" s="1"/>
</calcChain>
</file>

<file path=xl/sharedStrings.xml><?xml version="1.0" encoding="utf-8"?>
<sst xmlns="http://schemas.openxmlformats.org/spreadsheetml/2006/main" count="162" uniqueCount="65">
  <si>
    <t>FALL</t>
  </si>
  <si>
    <t xml:space="preserve">FALL </t>
  </si>
  <si>
    <t>1981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</si>
  <si>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</si>
  <si>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</si>
  <si>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</si>
  <si>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</si>
  <si>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</si>
  <si>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</si>
  <si>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</si>
  <si>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</si>
  <si>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</si>
  <si>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</si>
  <si>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</si>
  <si>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</si>
  <si>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</si>
  <si>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</si>
  <si>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PUBLIC BACCALAUREATE AND HIGHER DEGREE-GRANTING INSTITUTIONS</t>
  </si>
  <si>
    <t>HARRIS-STOWE</t>
  </si>
  <si>
    <t>LINCOLN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</si>
  <si>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</si>
  <si>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</si>
  <si>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</si>
  <si>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</si>
  <si>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</si>
  <si>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</si>
  <si>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</si>
  <si>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UMSL</t>
  </si>
  <si>
    <t xml:space="preserve">  Subtotal</t>
  </si>
  <si>
    <t>PUBLIC CERTIFICATE AND ASSOCIATE DEGREE-GRANTING INSTITUTIONS</t>
  </si>
  <si>
    <t>CROWDER</t>
  </si>
  <si>
    <t>EAST CENTRAL</t>
  </si>
  <si>
    <t>JEFFERSON</t>
  </si>
  <si>
    <t>LINN STATE</t>
  </si>
  <si>
    <t>N/A</t>
  </si>
  <si>
    <t>METRO CC - BLUE RIVER</t>
  </si>
  <si>
    <t>--</t>
  </si>
  <si>
    <t>METRO CC - LONGVIEW</t>
  </si>
  <si>
    <t>METRO CC - MAPLE WOODS</t>
  </si>
  <si>
    <t>METRO CC - PENN VALLEY</t>
  </si>
  <si>
    <t>METRO CC - PIONEER</t>
  </si>
  <si>
    <t>MINERAL AREA</t>
  </si>
  <si>
    <t>MOBERLY</t>
  </si>
  <si>
    <t>NORTH CENTRAL</t>
  </si>
  <si>
    <t>OZARKS TECH.</t>
  </si>
  <si>
    <t>STATE FAIR</t>
  </si>
  <si>
    <t>ST. CHARLES</t>
  </si>
  <si>
    <t>ST. LOUIS CC - FLO. VALLEY</t>
  </si>
  <si>
    <t>ST. LOUIS CC - FOREST PARK</t>
  </si>
  <si>
    <t>ST. LOUIS CC - MERAMEC</t>
  </si>
  <si>
    <t>THREE RIVERS</t>
  </si>
  <si>
    <t>PUBLIC  INSTITUTION TOTAL</t>
  </si>
  <si>
    <t>-- indicates that the institution was not or is no longer open.</t>
  </si>
  <si>
    <t>METRO CC - BUS. AND TECH.</t>
  </si>
  <si>
    <t>HISTORICAL TREND IN THE NUMBER OF TOTAL FULL-TIME FACULTY AT</t>
  </si>
  <si>
    <t>TABLE 84</t>
  </si>
  <si>
    <t>MISSOURI STATE</t>
  </si>
  <si>
    <t>MSU- WEST PLAINS</t>
  </si>
  <si>
    <t xml:space="preserve">SOURCES:  Higher Education Staff Information (EEO6), IPEDS Fall Staff, and IPEDS Human Resources </t>
  </si>
  <si>
    <t>UCM</t>
  </si>
  <si>
    <t>MISSOURI UNIV. OF SCI. &amp; TECH.</t>
  </si>
  <si>
    <t>ST. LOUIS CC - WILDWOOD</t>
  </si>
  <si>
    <t>PUBLIC INSTITUTIONS, FALL 1981, FALL 2003-FALL 2008</t>
  </si>
  <si>
    <t>NA</t>
  </si>
  <si>
    <t>*Institutions completed the Faculty items voluntarily in Fall 2008, Data not available for all institutions</t>
  </si>
</sst>
</file>

<file path=xl/styles.xml><?xml version="1.0" encoding="utf-8"?>
<styleSheet xmlns="http://schemas.openxmlformats.org/spreadsheetml/2006/main">
  <fonts count="7">
    <font>
      <sz val="7"/>
      <name val="TMS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name val="TMS"/>
    </font>
    <font>
      <u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double">
        <color indexed="8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double">
        <color indexed="8"/>
      </bottom>
      <diagonal/>
    </border>
  </borders>
  <cellStyleXfs count="1">
    <xf numFmtId="0" fontId="0" fillId="0" borderId="0"/>
  </cellStyleXfs>
  <cellXfs count="64">
    <xf numFmtId="0" fontId="0" fillId="0" borderId="0" xfId="0" applyNumberFormat="1" applyFont="1" applyAlignment="1" applyProtection="1">
      <protection locked="0"/>
    </xf>
    <xf numFmtId="0" fontId="1" fillId="2" borderId="0" xfId="0" applyFont="1" applyFill="1" applyAlignment="1">
      <alignment horizontal="left" vertical="center"/>
    </xf>
    <xf numFmtId="0" fontId="1" fillId="2" borderId="0" xfId="0" applyNumberFormat="1" applyFont="1" applyFill="1" applyAlignment="1"/>
    <xf numFmtId="0" fontId="5" fillId="2" borderId="0" xfId="0" applyNumberFormat="1" applyFont="1" applyFill="1" applyAlignment="1" applyProtection="1">
      <protection locked="0"/>
    </xf>
    <xf numFmtId="0" fontId="1" fillId="2" borderId="0" xfId="0" applyNumberFormat="1" applyFont="1" applyFill="1" applyAlignment="1">
      <alignment horizontal="fill" wrapText="1"/>
    </xf>
    <xf numFmtId="0" fontId="2" fillId="2" borderId="4" xfId="0" applyNumberFormat="1" applyFont="1" applyFill="1" applyBorder="1" applyAlignment="1"/>
    <xf numFmtId="0" fontId="3" fillId="2" borderId="0" xfId="0" applyNumberFormat="1" applyFont="1" applyFill="1" applyAlignment="1"/>
    <xf numFmtId="0" fontId="2" fillId="2" borderId="8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center"/>
    </xf>
    <xf numFmtId="0" fontId="3" fillId="2" borderId="0" xfId="0" applyNumberFormat="1" applyFont="1" applyFill="1" applyAlignment="1">
      <alignment horizontal="center"/>
    </xf>
    <xf numFmtId="0" fontId="3" fillId="2" borderId="5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NumberFormat="1" applyFont="1" applyFill="1" applyAlignment="1"/>
    <xf numFmtId="0" fontId="2" fillId="2" borderId="9" xfId="0" applyNumberFormat="1" applyFont="1" applyFill="1" applyBorder="1" applyAlignment="1">
      <alignment horizontal="center"/>
    </xf>
    <xf numFmtId="0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2" borderId="1" xfId="0" applyNumberFormat="1" applyFont="1" applyFill="1" applyBorder="1" applyAlignment="1"/>
    <xf numFmtId="0" fontId="2" fillId="2" borderId="10" xfId="0" applyNumberFormat="1" applyFont="1" applyFill="1" applyBorder="1" applyAlignment="1"/>
    <xf numFmtId="0" fontId="2" fillId="2" borderId="1" xfId="0" applyNumberFormat="1" applyFont="1" applyFill="1" applyBorder="1" applyAlignment="1"/>
    <xf numFmtId="0" fontId="3" fillId="2" borderId="1" xfId="0" applyNumberFormat="1" applyFont="1" applyFill="1" applyBorder="1" applyAlignment="1"/>
    <xf numFmtId="0" fontId="3" fillId="2" borderId="6" xfId="0" applyNumberFormat="1" applyFont="1" applyFill="1" applyBorder="1" applyAlignment="1"/>
    <xf numFmtId="0" fontId="4" fillId="2" borderId="0" xfId="0" applyNumberFormat="1" applyFont="1" applyFill="1" applyAlignment="1"/>
    <xf numFmtId="0" fontId="2" fillId="2" borderId="9" xfId="0" applyNumberFormat="1" applyFont="1" applyFill="1" applyBorder="1" applyAlignment="1"/>
    <xf numFmtId="0" fontId="2" fillId="2" borderId="0" xfId="0" applyNumberFormat="1" applyFont="1" applyFill="1" applyBorder="1" applyAlignment="1"/>
    <xf numFmtId="0" fontId="3" fillId="2" borderId="5" xfId="0" applyNumberFormat="1" applyFont="1" applyFill="1" applyBorder="1" applyAlignment="1"/>
    <xf numFmtId="0" fontId="1" fillId="2" borderId="0" xfId="0" applyFont="1" applyFill="1" applyAlignment="1"/>
    <xf numFmtId="3" fontId="2" fillId="2" borderId="9" xfId="0" applyNumberFormat="1" applyFont="1" applyFill="1" applyBorder="1" applyAlignment="1"/>
    <xf numFmtId="3" fontId="2" fillId="2" borderId="0" xfId="0" applyNumberFormat="1" applyFont="1" applyFill="1" applyBorder="1" applyAlignment="1"/>
    <xf numFmtId="3" fontId="3" fillId="2" borderId="0" xfId="0" applyNumberFormat="1" applyFont="1" applyFill="1" applyAlignment="1"/>
    <xf numFmtId="3" fontId="3" fillId="2" borderId="5" xfId="0" applyNumberFormat="1" applyFont="1" applyFill="1" applyBorder="1" applyAlignment="1"/>
    <xf numFmtId="3" fontId="1" fillId="2" borderId="0" xfId="0" applyNumberFormat="1" applyFont="1" applyFill="1" applyAlignment="1"/>
    <xf numFmtId="3" fontId="4" fillId="2" borderId="0" xfId="0" applyNumberFormat="1" applyFont="1" applyFill="1" applyAlignment="1"/>
    <xf numFmtId="3" fontId="2" fillId="2" borderId="0" xfId="0" applyNumberFormat="1" applyFont="1" applyFill="1" applyAlignment="1"/>
    <xf numFmtId="3" fontId="2" fillId="2" borderId="5" xfId="0" applyNumberFormat="1" applyFont="1" applyFill="1" applyBorder="1" applyAlignment="1"/>
    <xf numFmtId="0" fontId="3" fillId="2" borderId="0" xfId="0" applyNumberFormat="1" applyFont="1" applyFill="1" applyBorder="1" applyAlignment="1"/>
    <xf numFmtId="0" fontId="3" fillId="2" borderId="0" xfId="0" applyFont="1" applyFill="1" applyAlignment="1"/>
    <xf numFmtId="0" fontId="3" fillId="2" borderId="5" xfId="0" applyFont="1" applyFill="1" applyBorder="1" applyAlignment="1"/>
    <xf numFmtId="3" fontId="3" fillId="2" borderId="0" xfId="0" applyNumberFormat="1" applyFont="1" applyFill="1" applyAlignment="1">
      <alignment horizontal="right"/>
    </xf>
    <xf numFmtId="3" fontId="2" fillId="2" borderId="9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3" fillId="2" borderId="5" xfId="0" applyFont="1" applyFill="1" applyBorder="1" applyAlignment="1">
      <alignment horizontal="right"/>
    </xf>
    <xf numFmtId="3" fontId="2" fillId="2" borderId="0" xfId="0" applyNumberFormat="1" applyFont="1" applyFill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3" fontId="3" fillId="2" borderId="5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/>
    <xf numFmtId="3" fontId="2" fillId="2" borderId="11" xfId="0" applyNumberFormat="1" applyFont="1" applyFill="1" applyBorder="1" applyAlignment="1"/>
    <xf numFmtId="3" fontId="2" fillId="2" borderId="7" xfId="0" applyNumberFormat="1" applyFont="1" applyFill="1" applyBorder="1" applyAlignment="1"/>
    <xf numFmtId="3" fontId="2" fillId="2" borderId="4" xfId="0" applyNumberFormat="1" applyFont="1" applyFill="1" applyBorder="1" applyAlignment="1"/>
    <xf numFmtId="0" fontId="1" fillId="2" borderId="2" xfId="0" applyFont="1" applyFill="1" applyBorder="1" applyAlignment="1"/>
    <xf numFmtId="0" fontId="1" fillId="2" borderId="2" xfId="0" applyNumberFormat="1" applyFont="1" applyFill="1" applyBorder="1" applyAlignment="1"/>
    <xf numFmtId="0" fontId="2" fillId="2" borderId="0" xfId="0" applyFont="1" applyFill="1" applyAlignment="1"/>
    <xf numFmtId="1" fontId="1" fillId="2" borderId="0" xfId="0" applyNumberFormat="1" applyFont="1" applyFill="1" applyAlignment="1"/>
    <xf numFmtId="0" fontId="1" fillId="2" borderId="0" xfId="0" applyNumberFormat="1" applyFont="1" applyFill="1" applyAlignment="1">
      <alignment horizontal="right"/>
    </xf>
    <xf numFmtId="0" fontId="2" fillId="2" borderId="4" xfId="0" applyNumberFormat="1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3" fontId="1" fillId="2" borderId="0" xfId="0" applyNumberFormat="1" applyFont="1" applyFill="1" applyAlignment="1">
      <alignment horizontal="right"/>
    </xf>
    <xf numFmtId="3" fontId="1" fillId="2" borderId="0" xfId="0" applyNumberFormat="1" applyFont="1" applyFill="1" applyBorder="1" applyAlignment="1">
      <alignment horizontal="right"/>
    </xf>
    <xf numFmtId="0" fontId="4" fillId="2" borderId="0" xfId="0" applyNumberFormat="1" applyFont="1" applyFill="1" applyAlignment="1">
      <alignment horizontal="right"/>
    </xf>
    <xf numFmtId="3" fontId="2" fillId="2" borderId="4" xfId="0" applyNumberFormat="1" applyFont="1" applyFill="1" applyBorder="1" applyAlignment="1">
      <alignment horizontal="right"/>
    </xf>
    <xf numFmtId="0" fontId="3" fillId="2" borderId="0" xfId="0" applyNumberFormat="1" applyFont="1" applyFill="1" applyAlignment="1">
      <alignment horizontal="right"/>
    </xf>
    <xf numFmtId="0" fontId="6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IT120"/>
  <sheetViews>
    <sheetView tabSelected="1" showOutlineSymbols="0" zoomScaleNormal="100" workbookViewId="0"/>
  </sheetViews>
  <sheetFormatPr defaultColWidth="15.796875" defaultRowHeight="11.25"/>
  <cols>
    <col min="1" max="1" width="32" style="2" customWidth="1"/>
    <col min="2" max="2" width="9" style="2" customWidth="1"/>
    <col min="3" max="18" width="9" style="2" hidden="1" customWidth="1"/>
    <col min="19" max="23" width="9" style="2" customWidth="1"/>
    <col min="24" max="24" width="11.59765625" style="55" customWidth="1"/>
    <col min="25" max="25" width="23.19921875" style="2" customWidth="1"/>
    <col min="26" max="254" width="15.796875" style="2" customWidth="1"/>
    <col min="255" max="16384" width="15.796875" style="3"/>
  </cols>
  <sheetData>
    <row r="1" spans="1:254">
      <c r="A1" s="1" t="s">
        <v>55</v>
      </c>
    </row>
    <row r="2" spans="1:254">
      <c r="A2" s="1" t="s">
        <v>54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54">
      <c r="A3" s="1" t="s">
        <v>62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54" ht="12.7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</row>
    <row r="5" spans="1:254" ht="12.75" customHeight="1" thickTop="1">
      <c r="B5" s="7" t="s">
        <v>0</v>
      </c>
      <c r="C5" s="8" t="s">
        <v>0</v>
      </c>
      <c r="D5" s="9" t="s">
        <v>0</v>
      </c>
      <c r="E5" s="9" t="s">
        <v>0</v>
      </c>
      <c r="F5" s="9" t="s">
        <v>0</v>
      </c>
      <c r="G5" s="9" t="s">
        <v>0</v>
      </c>
      <c r="H5" s="9" t="s">
        <v>0</v>
      </c>
      <c r="I5" s="9" t="s">
        <v>0</v>
      </c>
      <c r="J5" s="9" t="s">
        <v>0</v>
      </c>
      <c r="K5" s="9" t="s">
        <v>0</v>
      </c>
      <c r="L5" s="9" t="s">
        <v>0</v>
      </c>
      <c r="M5" s="9" t="s">
        <v>1</v>
      </c>
      <c r="N5" s="9" t="s">
        <v>1</v>
      </c>
      <c r="O5" s="10" t="s">
        <v>1</v>
      </c>
      <c r="P5" s="9" t="s">
        <v>1</v>
      </c>
      <c r="Q5" s="11" t="s">
        <v>0</v>
      </c>
      <c r="R5" s="11" t="s">
        <v>0</v>
      </c>
      <c r="S5" s="11" t="s">
        <v>0</v>
      </c>
      <c r="T5" s="11" t="s">
        <v>0</v>
      </c>
      <c r="U5" s="11" t="s">
        <v>0</v>
      </c>
      <c r="V5" s="11" t="s">
        <v>0</v>
      </c>
      <c r="W5" s="11" t="s">
        <v>0</v>
      </c>
      <c r="X5" s="41" t="s">
        <v>0</v>
      </c>
    </row>
    <row r="6" spans="1:254" ht="12.75" customHeight="1">
      <c r="A6" s="12"/>
      <c r="B6" s="13" t="s">
        <v>2</v>
      </c>
      <c r="C6" s="8" t="s">
        <v>3</v>
      </c>
      <c r="D6" s="14" t="s">
        <v>4</v>
      </c>
      <c r="E6" s="14" t="s">
        <v>5</v>
      </c>
      <c r="F6" s="14" t="s">
        <v>6</v>
      </c>
      <c r="G6" s="14" t="s">
        <v>7</v>
      </c>
      <c r="H6" s="14" t="s">
        <v>8</v>
      </c>
      <c r="I6" s="14" t="s">
        <v>9</v>
      </c>
      <c r="J6" s="14" t="s">
        <v>10</v>
      </c>
      <c r="K6" s="14" t="s">
        <v>11</v>
      </c>
      <c r="L6" s="14" t="s">
        <v>12</v>
      </c>
      <c r="M6" s="14" t="s">
        <v>13</v>
      </c>
      <c r="N6" s="15" t="s">
        <v>14</v>
      </c>
      <c r="O6" s="16" t="s">
        <v>15</v>
      </c>
      <c r="P6" s="15" t="s">
        <v>16</v>
      </c>
      <c r="Q6" s="15">
        <v>2001</v>
      </c>
      <c r="R6" s="17">
        <v>2002</v>
      </c>
      <c r="S6" s="17">
        <v>2003</v>
      </c>
      <c r="T6" s="17">
        <v>2004</v>
      </c>
      <c r="U6" s="17">
        <v>2005</v>
      </c>
      <c r="V6" s="17">
        <v>2006</v>
      </c>
      <c r="W6" s="17">
        <v>2007</v>
      </c>
      <c r="X6" s="57">
        <v>2008</v>
      </c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</row>
    <row r="7" spans="1:254" ht="12.75" customHeight="1">
      <c r="A7" s="18"/>
      <c r="B7" s="19"/>
      <c r="C7" s="20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2"/>
      <c r="P7" s="21"/>
      <c r="Q7" s="21"/>
      <c r="R7" s="23"/>
    </row>
    <row r="8" spans="1:254" ht="15" customHeight="1">
      <c r="A8" s="63" t="s">
        <v>17</v>
      </c>
      <c r="B8" s="24"/>
      <c r="C8" s="25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26"/>
      <c r="P8" s="6"/>
      <c r="Q8" s="6"/>
      <c r="R8" s="23"/>
    </row>
    <row r="9" spans="1:254" ht="12.75" customHeight="1">
      <c r="A9" s="27"/>
      <c r="B9" s="24"/>
      <c r="C9" s="2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26"/>
      <c r="P9" s="6"/>
      <c r="Q9" s="6"/>
      <c r="R9" s="23"/>
    </row>
    <row r="10" spans="1:254" ht="12.75" customHeight="1">
      <c r="A10" s="2" t="s">
        <v>18</v>
      </c>
      <c r="B10" s="28">
        <f>18+10+1</f>
        <v>29</v>
      </c>
      <c r="C10" s="29">
        <v>32</v>
      </c>
      <c r="D10" s="30">
        <v>37</v>
      </c>
      <c r="E10" s="30">
        <v>39</v>
      </c>
      <c r="F10" s="30">
        <v>39</v>
      </c>
      <c r="G10" s="30">
        <v>37</v>
      </c>
      <c r="H10" s="30">
        <v>37</v>
      </c>
      <c r="I10" s="30">
        <v>40</v>
      </c>
      <c r="J10" s="30">
        <v>44</v>
      </c>
      <c r="K10" s="30">
        <v>41</v>
      </c>
      <c r="L10" s="30">
        <f>21+25</f>
        <v>46</v>
      </c>
      <c r="M10" s="30">
        <f>22+25</f>
        <v>47</v>
      </c>
      <c r="N10" s="30">
        <f>24+28</f>
        <v>52</v>
      </c>
      <c r="O10" s="31">
        <f>26+30</f>
        <v>56</v>
      </c>
      <c r="P10" s="30">
        <v>60</v>
      </c>
      <c r="Q10" s="30">
        <v>61</v>
      </c>
      <c r="R10" s="23">
        <f>26+27</f>
        <v>53</v>
      </c>
      <c r="S10" s="32">
        <v>55</v>
      </c>
      <c r="T10" s="32">
        <v>58</v>
      </c>
      <c r="U10" s="32">
        <v>52</v>
      </c>
      <c r="V10" s="32">
        <v>57</v>
      </c>
      <c r="W10" s="32">
        <v>57</v>
      </c>
      <c r="X10" s="58">
        <v>54</v>
      </c>
    </row>
    <row r="11" spans="1:254" ht="12.75" customHeight="1">
      <c r="A11" s="2" t="s">
        <v>19</v>
      </c>
      <c r="B11" s="28">
        <v>140</v>
      </c>
      <c r="C11" s="29">
        <f>115+36</f>
        <v>151</v>
      </c>
      <c r="D11" s="30">
        <v>134</v>
      </c>
      <c r="E11" s="30">
        <v>130</v>
      </c>
      <c r="F11" s="30">
        <v>134</v>
      </c>
      <c r="G11" s="30">
        <v>145</v>
      </c>
      <c r="H11" s="30">
        <v>143</v>
      </c>
      <c r="I11" s="30">
        <v>136</v>
      </c>
      <c r="J11" s="30">
        <v>144</v>
      </c>
      <c r="K11" s="30">
        <f>84+63</f>
        <v>147</v>
      </c>
      <c r="L11" s="30">
        <f>3+14+17+28+21+18+5+1+2+2+8+4+2+3+3+2</f>
        <v>133</v>
      </c>
      <c r="M11" s="30">
        <f>89+65</f>
        <v>154</v>
      </c>
      <c r="N11" s="30">
        <f>89+71</f>
        <v>160</v>
      </c>
      <c r="O11" s="31">
        <f>92+69</f>
        <v>161</v>
      </c>
      <c r="P11" s="30">
        <f>62+56+3+23+14</f>
        <v>158</v>
      </c>
      <c r="Q11" s="30">
        <v>120</v>
      </c>
      <c r="R11" s="23">
        <f>82+69</f>
        <v>151</v>
      </c>
      <c r="S11" s="32">
        <v>136</v>
      </c>
      <c r="T11" s="32">
        <v>131</v>
      </c>
      <c r="U11" s="32">
        <f>123+1+11</f>
        <v>135</v>
      </c>
      <c r="V11" s="32">
        <v>139</v>
      </c>
      <c r="W11" s="32">
        <v>139</v>
      </c>
      <c r="X11" s="58">
        <v>146</v>
      </c>
    </row>
    <row r="12" spans="1:254" ht="12.75" customHeight="1">
      <c r="A12" s="2" t="s">
        <v>20</v>
      </c>
      <c r="B12" s="28">
        <f>150+1+1+2</f>
        <v>154</v>
      </c>
      <c r="C12" s="29">
        <f>154+13</f>
        <v>167</v>
      </c>
      <c r="D12" s="30">
        <v>170</v>
      </c>
      <c r="E12" s="30">
        <v>190</v>
      </c>
      <c r="F12" s="30">
        <v>196</v>
      </c>
      <c r="G12" s="30">
        <v>198</v>
      </c>
      <c r="H12" s="30">
        <v>189</v>
      </c>
      <c r="I12" s="30">
        <v>172</v>
      </c>
      <c r="J12" s="30">
        <v>190</v>
      </c>
      <c r="K12" s="30">
        <f>138+63</f>
        <v>201</v>
      </c>
      <c r="L12" s="30">
        <f>147+67</f>
        <v>214</v>
      </c>
      <c r="M12" s="30">
        <f>143+62</f>
        <v>205</v>
      </c>
      <c r="N12" s="30">
        <f>140+62</f>
        <v>202</v>
      </c>
      <c r="O12" s="31">
        <f>138+66</f>
        <v>204</v>
      </c>
      <c r="P12" s="30">
        <f>139+69</f>
        <v>208</v>
      </c>
      <c r="Q12" s="30">
        <f>193+11</f>
        <v>204</v>
      </c>
      <c r="R12" s="23">
        <f>132+70</f>
        <v>202</v>
      </c>
      <c r="S12" s="32">
        <v>198</v>
      </c>
      <c r="T12" s="32">
        <v>200</v>
      </c>
      <c r="U12" s="32">
        <f>184+19</f>
        <v>203</v>
      </c>
      <c r="V12" s="32">
        <v>208</v>
      </c>
      <c r="W12" s="32">
        <v>211</v>
      </c>
      <c r="X12" s="58">
        <v>215</v>
      </c>
    </row>
    <row r="13" spans="1:254" ht="12.75" customHeight="1">
      <c r="A13" s="2" t="s">
        <v>56</v>
      </c>
      <c r="B13" s="28">
        <v>534</v>
      </c>
      <c r="C13" s="29">
        <v>628</v>
      </c>
      <c r="D13" s="30">
        <v>653</v>
      </c>
      <c r="E13" s="30">
        <v>678</v>
      </c>
      <c r="F13" s="30">
        <v>679</v>
      </c>
      <c r="G13" s="30">
        <v>668</v>
      </c>
      <c r="H13" s="30">
        <v>661</v>
      </c>
      <c r="I13" s="30">
        <v>685</v>
      </c>
      <c r="J13" s="30">
        <v>671</v>
      </c>
      <c r="K13" s="30">
        <f>463+194</f>
        <v>657</v>
      </c>
      <c r="L13" s="30">
        <f>463+198</f>
        <v>661</v>
      </c>
      <c r="M13" s="30">
        <f>467+207</f>
        <v>674</v>
      </c>
      <c r="N13" s="30">
        <f>453+241</f>
        <v>694</v>
      </c>
      <c r="O13" s="31">
        <f>462+244</f>
        <v>706</v>
      </c>
      <c r="P13" s="30">
        <f>460+263</f>
        <v>723</v>
      </c>
      <c r="Q13" s="30">
        <f>642+2+75</f>
        <v>719</v>
      </c>
      <c r="R13" s="23">
        <f>460+271</f>
        <v>731</v>
      </c>
      <c r="S13" s="32">
        <v>725</v>
      </c>
      <c r="T13" s="32">
        <v>726</v>
      </c>
      <c r="U13" s="32">
        <f>651+77</f>
        <v>728</v>
      </c>
      <c r="V13" s="32">
        <v>716</v>
      </c>
      <c r="W13" s="32">
        <v>718</v>
      </c>
      <c r="X13" s="58">
        <v>737</v>
      </c>
    </row>
    <row r="14" spans="1:254" ht="12.75" customHeight="1">
      <c r="A14" s="27" t="s">
        <v>60</v>
      </c>
      <c r="B14" s="28">
        <f>356+2+2+30</f>
        <v>390</v>
      </c>
      <c r="C14" s="29">
        <v>351</v>
      </c>
      <c r="D14" s="30">
        <v>367</v>
      </c>
      <c r="E14" s="30">
        <v>385</v>
      </c>
      <c r="F14" s="30">
        <v>387</v>
      </c>
      <c r="G14" s="30">
        <v>384</v>
      </c>
      <c r="H14" s="30">
        <v>342</v>
      </c>
      <c r="I14" s="30">
        <v>356</v>
      </c>
      <c r="J14" s="30">
        <v>358</v>
      </c>
      <c r="K14" s="30">
        <f>324+44</f>
        <v>368</v>
      </c>
      <c r="L14" s="30">
        <f>320+46</f>
        <v>366</v>
      </c>
      <c r="M14" s="30">
        <v>364</v>
      </c>
      <c r="N14" s="30">
        <f>334+45</f>
        <v>379</v>
      </c>
      <c r="O14" s="31">
        <f>342+45</f>
        <v>387</v>
      </c>
      <c r="P14" s="30">
        <f>237+34+11+54+11</f>
        <v>347</v>
      </c>
      <c r="Q14" s="30">
        <f>280+18+50</f>
        <v>348</v>
      </c>
      <c r="R14" s="23">
        <v>353</v>
      </c>
      <c r="S14" s="32">
        <v>367</v>
      </c>
      <c r="T14" s="32">
        <v>366</v>
      </c>
      <c r="U14" s="32">
        <f>6+284+78</f>
        <v>368</v>
      </c>
      <c r="V14" s="32">
        <v>370</v>
      </c>
      <c r="W14" s="32">
        <v>378</v>
      </c>
      <c r="X14" s="58">
        <v>380</v>
      </c>
    </row>
    <row r="15" spans="1:254" ht="12.75" customHeight="1">
      <c r="A15" s="2" t="s">
        <v>21</v>
      </c>
      <c r="B15" s="28">
        <f>152+1+2</f>
        <v>155</v>
      </c>
      <c r="C15" s="29">
        <v>158</v>
      </c>
      <c r="D15" s="30">
        <v>151</v>
      </c>
      <c r="E15" s="30">
        <v>150</v>
      </c>
      <c r="F15" s="30">
        <v>155</v>
      </c>
      <c r="G15" s="30">
        <v>160</v>
      </c>
      <c r="H15" s="30">
        <v>162</v>
      </c>
      <c r="I15" s="30">
        <v>163</v>
      </c>
      <c r="J15" s="30">
        <v>161</v>
      </c>
      <c r="K15" s="30">
        <f>105+61</f>
        <v>166</v>
      </c>
      <c r="L15" s="30">
        <v>178</v>
      </c>
      <c r="M15" s="30">
        <f>116+66</f>
        <v>182</v>
      </c>
      <c r="N15" s="30">
        <f>116+71</f>
        <v>187</v>
      </c>
      <c r="O15" s="31">
        <f>121+68</f>
        <v>189</v>
      </c>
      <c r="P15" s="30">
        <f>115+78</f>
        <v>193</v>
      </c>
      <c r="Q15" s="30">
        <v>188</v>
      </c>
      <c r="R15" s="23">
        <f>113+73</f>
        <v>186</v>
      </c>
      <c r="S15" s="32">
        <v>198</v>
      </c>
      <c r="T15" s="32">
        <v>189</v>
      </c>
      <c r="U15" s="32">
        <v>179</v>
      </c>
      <c r="V15" s="32">
        <v>178</v>
      </c>
      <c r="W15" s="32">
        <v>184</v>
      </c>
      <c r="X15" s="58">
        <v>187</v>
      </c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</row>
    <row r="16" spans="1:254" ht="12.75" customHeight="1">
      <c r="A16" s="2" t="s">
        <v>22</v>
      </c>
      <c r="B16" s="28">
        <v>245</v>
      </c>
      <c r="C16" s="29">
        <v>223</v>
      </c>
      <c r="D16" s="30">
        <v>231</v>
      </c>
      <c r="E16" s="30">
        <v>237</v>
      </c>
      <c r="F16" s="30">
        <v>236</v>
      </c>
      <c r="G16" s="30">
        <v>245</v>
      </c>
      <c r="H16" s="30">
        <v>233</v>
      </c>
      <c r="I16" s="30">
        <v>233</v>
      </c>
      <c r="J16" s="30">
        <v>228</v>
      </c>
      <c r="K16" s="30">
        <f>154+77</f>
        <v>231</v>
      </c>
      <c r="L16" s="30">
        <f>152+79</f>
        <v>231</v>
      </c>
      <c r="M16" s="30">
        <f>152+79</f>
        <v>231</v>
      </c>
      <c r="N16" s="30">
        <f>148+83</f>
        <v>231</v>
      </c>
      <c r="O16" s="31">
        <f>148+89</f>
        <v>237</v>
      </c>
      <c r="P16" s="30">
        <f>141+103</f>
        <v>244</v>
      </c>
      <c r="Q16" s="30">
        <f>235+3</f>
        <v>238</v>
      </c>
      <c r="R16" s="6">
        <f>145+98</f>
        <v>243</v>
      </c>
      <c r="S16" s="30">
        <v>233</v>
      </c>
      <c r="T16" s="30">
        <v>243</v>
      </c>
      <c r="U16" s="30">
        <f>233+8</f>
        <v>241</v>
      </c>
      <c r="V16" s="30">
        <v>241</v>
      </c>
      <c r="W16" s="30">
        <v>243</v>
      </c>
      <c r="X16" s="39">
        <v>249</v>
      </c>
    </row>
    <row r="17" spans="1:254" ht="12.75" customHeight="1">
      <c r="A17" s="2" t="s">
        <v>23</v>
      </c>
      <c r="B17" s="28">
        <f>396+3+10</f>
        <v>409</v>
      </c>
      <c r="C17" s="29">
        <v>416</v>
      </c>
      <c r="D17" s="30">
        <v>414</v>
      </c>
      <c r="E17" s="30">
        <v>408</v>
      </c>
      <c r="F17" s="30">
        <v>425</v>
      </c>
      <c r="G17" s="30">
        <v>407</v>
      </c>
      <c r="H17" s="30">
        <v>399</v>
      </c>
      <c r="I17" s="30">
        <v>390</v>
      </c>
      <c r="J17" s="30">
        <v>377</v>
      </c>
      <c r="K17" s="30">
        <f>247+129</f>
        <v>376</v>
      </c>
      <c r="L17" s="30">
        <f>243+133</f>
        <v>376</v>
      </c>
      <c r="M17" s="30">
        <f>243+135</f>
        <v>378</v>
      </c>
      <c r="N17" s="30">
        <f>240+140</f>
        <v>380</v>
      </c>
      <c r="O17" s="31">
        <f>240+144</f>
        <v>384</v>
      </c>
      <c r="P17" s="30">
        <f>229+149+10</f>
        <v>388</v>
      </c>
      <c r="Q17" s="30">
        <v>398</v>
      </c>
      <c r="R17" s="23">
        <f>234+170</f>
        <v>404</v>
      </c>
      <c r="S17" s="32">
        <v>405</v>
      </c>
      <c r="T17" s="32">
        <v>406</v>
      </c>
      <c r="U17" s="32">
        <f>393+7</f>
        <v>400</v>
      </c>
      <c r="V17" s="32">
        <v>408</v>
      </c>
      <c r="W17" s="32">
        <v>413</v>
      </c>
      <c r="X17" s="58">
        <v>434</v>
      </c>
    </row>
    <row r="18" spans="1:254" ht="12.75" customHeight="1">
      <c r="A18" s="2" t="s">
        <v>24</v>
      </c>
      <c r="B18" s="28">
        <f>246+2+1+2+1</f>
        <v>252</v>
      </c>
      <c r="C18" s="29">
        <v>298</v>
      </c>
      <c r="D18" s="30">
        <v>307</v>
      </c>
      <c r="E18" s="30">
        <v>312</v>
      </c>
      <c r="F18" s="30">
        <v>329</v>
      </c>
      <c r="G18" s="30">
        <v>337</v>
      </c>
      <c r="H18" s="30">
        <v>337</v>
      </c>
      <c r="I18" s="30">
        <v>328</v>
      </c>
      <c r="J18" s="30">
        <v>334</v>
      </c>
      <c r="K18" s="30">
        <f>232+117</f>
        <v>349</v>
      </c>
      <c r="L18" s="30">
        <f>227+114+6</f>
        <v>347</v>
      </c>
      <c r="M18" s="30">
        <v>358</v>
      </c>
      <c r="N18" s="30">
        <f>233+124</f>
        <v>357</v>
      </c>
      <c r="O18" s="31">
        <f>233+131</f>
        <v>364</v>
      </c>
      <c r="P18" s="30">
        <f>234+141</f>
        <v>375</v>
      </c>
      <c r="Q18" s="30">
        <f>366+4</f>
        <v>370</v>
      </c>
      <c r="R18" s="23">
        <f>224+142</f>
        <v>366</v>
      </c>
      <c r="S18" s="32">
        <v>354</v>
      </c>
      <c r="T18" s="32">
        <v>437</v>
      </c>
      <c r="U18" s="32">
        <f>346+7</f>
        <v>353</v>
      </c>
      <c r="V18" s="32">
        <v>339</v>
      </c>
      <c r="W18" s="32">
        <v>344</v>
      </c>
      <c r="X18" s="58">
        <v>357</v>
      </c>
    </row>
    <row r="19" spans="1:254" ht="12.75" customHeight="1">
      <c r="A19" s="2" t="s">
        <v>59</v>
      </c>
      <c r="B19" s="28">
        <v>471</v>
      </c>
      <c r="C19" s="29">
        <f>380+36</f>
        <v>416</v>
      </c>
      <c r="D19" s="30">
        <v>418</v>
      </c>
      <c r="E19" s="30">
        <v>435</v>
      </c>
      <c r="F19" s="30">
        <v>451</v>
      </c>
      <c r="G19" s="30">
        <v>447</v>
      </c>
      <c r="H19" s="30">
        <v>444</v>
      </c>
      <c r="I19" s="30">
        <v>454</v>
      </c>
      <c r="J19" s="30">
        <v>443</v>
      </c>
      <c r="K19" s="30">
        <f>308+147</f>
        <v>455</v>
      </c>
      <c r="L19" s="30">
        <v>433</v>
      </c>
      <c r="M19" s="30">
        <f>281+151</f>
        <v>432</v>
      </c>
      <c r="N19" s="30">
        <f>277+148</f>
        <v>425</v>
      </c>
      <c r="O19" s="31">
        <f>286+160</f>
        <v>446</v>
      </c>
      <c r="P19" s="30">
        <f>288+160</f>
        <v>448</v>
      </c>
      <c r="Q19" s="30">
        <f>402+35</f>
        <v>437</v>
      </c>
      <c r="R19" s="23">
        <f>267+158</f>
        <v>425</v>
      </c>
      <c r="S19" s="32">
        <v>432</v>
      </c>
      <c r="T19" s="32">
        <v>437</v>
      </c>
      <c r="U19" s="32">
        <f>423+30</f>
        <v>453</v>
      </c>
      <c r="V19" s="32">
        <v>457</v>
      </c>
      <c r="W19" s="32">
        <v>453</v>
      </c>
      <c r="X19" s="58" t="s">
        <v>63</v>
      </c>
    </row>
    <row r="20" spans="1:254" ht="12.75" customHeight="1">
      <c r="A20" s="2" t="s">
        <v>25</v>
      </c>
      <c r="B20" s="28">
        <f>1947+36+20+87+7</f>
        <v>2097</v>
      </c>
      <c r="C20" s="29">
        <v>2046</v>
      </c>
      <c r="D20" s="30">
        <v>2083</v>
      </c>
      <c r="E20" s="30">
        <v>2121</v>
      </c>
      <c r="F20" s="30">
        <v>2090</v>
      </c>
      <c r="G20" s="30">
        <v>2141</v>
      </c>
      <c r="H20" s="30">
        <v>2108</v>
      </c>
      <c r="I20" s="30">
        <v>2188</v>
      </c>
      <c r="J20" s="30">
        <v>2339</v>
      </c>
      <c r="K20" s="30">
        <f>1662+674</f>
        <v>2336</v>
      </c>
      <c r="L20" s="30">
        <f>1678+691</f>
        <v>2369</v>
      </c>
      <c r="M20" s="30">
        <v>2421</v>
      </c>
      <c r="N20" s="30">
        <f>1726+753</f>
        <v>2479</v>
      </c>
      <c r="O20" s="31">
        <f>1735+807</f>
        <v>2542</v>
      </c>
      <c r="P20" s="30">
        <f>548+261+43+24+1062+542</f>
        <v>2480</v>
      </c>
      <c r="Q20" s="30">
        <f>873+50+1512</f>
        <v>2435</v>
      </c>
      <c r="R20" s="33">
        <v>2445</v>
      </c>
      <c r="S20" s="32">
        <v>2405</v>
      </c>
      <c r="T20" s="32">
        <v>2718</v>
      </c>
      <c r="U20" s="32">
        <f>12+903+1874</f>
        <v>2789</v>
      </c>
      <c r="V20" s="32">
        <v>2907</v>
      </c>
      <c r="W20" s="32">
        <v>2983</v>
      </c>
      <c r="X20" s="58">
        <v>2983</v>
      </c>
    </row>
    <row r="21" spans="1:254" ht="12.75" customHeight="1">
      <c r="A21" s="2" t="s">
        <v>26</v>
      </c>
      <c r="B21" s="28">
        <f>557+11+4+24+1</f>
        <v>597</v>
      </c>
      <c r="C21" s="29">
        <v>606</v>
      </c>
      <c r="D21" s="30">
        <v>621</v>
      </c>
      <c r="E21" s="30">
        <v>654</v>
      </c>
      <c r="F21" s="30">
        <v>645</v>
      </c>
      <c r="G21" s="30">
        <v>650</v>
      </c>
      <c r="H21" s="30">
        <v>637</v>
      </c>
      <c r="I21" s="30">
        <v>680</v>
      </c>
      <c r="J21" s="30">
        <v>699</v>
      </c>
      <c r="K21" s="30">
        <f>438+265</f>
        <v>703</v>
      </c>
      <c r="L21" s="30">
        <f>446+264</f>
        <v>710</v>
      </c>
      <c r="M21" s="30">
        <v>721</v>
      </c>
      <c r="N21" s="30">
        <f>441+323</f>
        <v>764</v>
      </c>
      <c r="O21" s="31">
        <f>461+350</f>
        <v>811</v>
      </c>
      <c r="P21" s="30">
        <f>232+138+20+42+199+195</f>
        <v>826</v>
      </c>
      <c r="Q21" s="30">
        <f>390+51+358</f>
        <v>799</v>
      </c>
      <c r="R21" s="23">
        <v>1121</v>
      </c>
      <c r="S21" s="32">
        <v>1097</v>
      </c>
      <c r="T21" s="32">
        <v>1094</v>
      </c>
      <c r="U21" s="32">
        <f>8+409+717</f>
        <v>1134</v>
      </c>
      <c r="V21" s="32">
        <v>1142</v>
      </c>
      <c r="W21" s="32">
        <v>1159</v>
      </c>
      <c r="X21" s="58">
        <v>1197</v>
      </c>
    </row>
    <row r="22" spans="1:254" ht="12.75" customHeight="1">
      <c r="A22" s="2" t="s">
        <v>27</v>
      </c>
      <c r="B22" s="28">
        <v>406</v>
      </c>
      <c r="C22" s="29">
        <v>428</v>
      </c>
      <c r="D22" s="30">
        <v>420</v>
      </c>
      <c r="E22" s="30">
        <v>440</v>
      </c>
      <c r="F22" s="30">
        <v>465</v>
      </c>
      <c r="G22" s="30">
        <v>496</v>
      </c>
      <c r="H22" s="30">
        <v>460</v>
      </c>
      <c r="I22" s="30">
        <v>477</v>
      </c>
      <c r="J22" s="30">
        <v>506</v>
      </c>
      <c r="K22" s="30">
        <f>280+216</f>
        <v>496</v>
      </c>
      <c r="L22" s="30">
        <f>284+228</f>
        <v>512</v>
      </c>
      <c r="M22" s="30">
        <v>513</v>
      </c>
      <c r="N22" s="30">
        <f>288+213</f>
        <v>501</v>
      </c>
      <c r="O22" s="31">
        <f>286+216</f>
        <v>502</v>
      </c>
      <c r="P22" s="30">
        <f>212+165+16+112</f>
        <v>505</v>
      </c>
      <c r="Q22" s="30">
        <f>374+20+102</f>
        <v>496</v>
      </c>
      <c r="R22" s="23">
        <v>495</v>
      </c>
      <c r="S22" s="32">
        <v>498</v>
      </c>
      <c r="T22" s="32">
        <v>489</v>
      </c>
      <c r="U22" s="32">
        <f>8+371+133</f>
        <v>512</v>
      </c>
      <c r="V22" s="32">
        <v>556</v>
      </c>
      <c r="W22" s="32">
        <v>566</v>
      </c>
      <c r="X22" s="58">
        <v>558</v>
      </c>
    </row>
    <row r="23" spans="1:254" ht="12.75" customHeight="1">
      <c r="A23" s="2" t="s">
        <v>28</v>
      </c>
      <c r="B23" s="28">
        <f t="shared" ref="B23:U23" si="0">SUM(B10:B22)</f>
        <v>5879</v>
      </c>
      <c r="C23" s="29">
        <f t="shared" si="0"/>
        <v>5920</v>
      </c>
      <c r="D23" s="34">
        <f t="shared" si="0"/>
        <v>6006</v>
      </c>
      <c r="E23" s="34">
        <f t="shared" si="0"/>
        <v>6179</v>
      </c>
      <c r="F23" s="34">
        <f t="shared" si="0"/>
        <v>6231</v>
      </c>
      <c r="G23" s="34">
        <f t="shared" si="0"/>
        <v>6315</v>
      </c>
      <c r="H23" s="34">
        <f t="shared" si="0"/>
        <v>6152</v>
      </c>
      <c r="I23" s="34">
        <f t="shared" si="0"/>
        <v>6302</v>
      </c>
      <c r="J23" s="34">
        <f t="shared" si="0"/>
        <v>6494</v>
      </c>
      <c r="K23" s="34">
        <f t="shared" si="0"/>
        <v>6526</v>
      </c>
      <c r="L23" s="34">
        <f t="shared" si="0"/>
        <v>6576</v>
      </c>
      <c r="M23" s="34">
        <f t="shared" si="0"/>
        <v>6680</v>
      </c>
      <c r="N23" s="34">
        <f t="shared" si="0"/>
        <v>6811</v>
      </c>
      <c r="O23" s="35">
        <f t="shared" si="0"/>
        <v>6989</v>
      </c>
      <c r="P23" s="34">
        <f t="shared" si="0"/>
        <v>6955</v>
      </c>
      <c r="Q23" s="34">
        <f t="shared" si="0"/>
        <v>6813</v>
      </c>
      <c r="R23" s="34">
        <f t="shared" si="0"/>
        <v>7175</v>
      </c>
      <c r="S23" s="34">
        <f t="shared" si="0"/>
        <v>7103</v>
      </c>
      <c r="T23" s="34">
        <f t="shared" si="0"/>
        <v>7494</v>
      </c>
      <c r="U23" s="34">
        <f t="shared" si="0"/>
        <v>7547</v>
      </c>
      <c r="V23" s="34">
        <f>SUM(V10:V22)</f>
        <v>7718</v>
      </c>
      <c r="W23" s="34">
        <f>SUM(W10:W22)</f>
        <v>7848</v>
      </c>
      <c r="X23" s="43" t="str">
        <f>CONCATENATE(SUM(X10:X22),"*")</f>
        <v>7497*</v>
      </c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</row>
    <row r="24" spans="1:254" ht="12.75" customHeight="1">
      <c r="B24" s="24"/>
      <c r="C24" s="3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6"/>
      <c r="P24" s="6"/>
      <c r="Q24" s="6"/>
      <c r="R24" s="23"/>
    </row>
    <row r="25" spans="1:254" ht="15" customHeight="1">
      <c r="A25" s="63" t="s">
        <v>29</v>
      </c>
      <c r="B25" s="28"/>
      <c r="C25" s="2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  <c r="P25" s="30"/>
      <c r="Q25" s="30"/>
      <c r="R25" s="23"/>
    </row>
    <row r="26" spans="1:254" ht="12.75" customHeight="1">
      <c r="A26" s="27"/>
      <c r="B26" s="28"/>
      <c r="C26" s="29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1"/>
      <c r="P26" s="30"/>
      <c r="Q26" s="30"/>
      <c r="R26" s="23"/>
    </row>
    <row r="27" spans="1:254" ht="12.75" customHeight="1">
      <c r="A27" s="2" t="s">
        <v>30</v>
      </c>
      <c r="B27" s="28">
        <v>41</v>
      </c>
      <c r="C27" s="29">
        <f>41+22</f>
        <v>63</v>
      </c>
      <c r="D27" s="30">
        <v>71</v>
      </c>
      <c r="E27" s="30">
        <v>63</v>
      </c>
      <c r="F27" s="30">
        <v>68</v>
      </c>
      <c r="G27" s="30">
        <v>63</v>
      </c>
      <c r="H27" s="30">
        <v>61</v>
      </c>
      <c r="I27" s="6">
        <v>60</v>
      </c>
      <c r="J27" s="6">
        <v>52</v>
      </c>
      <c r="K27" s="6">
        <f>33+21</f>
        <v>54</v>
      </c>
      <c r="L27" s="6">
        <f>35+25</f>
        <v>60</v>
      </c>
      <c r="M27" s="6">
        <f>41+29</f>
        <v>70</v>
      </c>
      <c r="N27" s="37">
        <v>69</v>
      </c>
      <c r="O27" s="38">
        <v>73</v>
      </c>
      <c r="P27" s="30">
        <f>44+31</f>
        <v>75</v>
      </c>
      <c r="Q27" s="30">
        <f>42+25</f>
        <v>67</v>
      </c>
      <c r="R27" s="23">
        <v>66</v>
      </c>
      <c r="S27" s="2">
        <v>62</v>
      </c>
      <c r="T27" s="2">
        <v>64</v>
      </c>
      <c r="U27" s="2">
        <f>49+15</f>
        <v>64</v>
      </c>
      <c r="V27" s="32">
        <v>66</v>
      </c>
      <c r="W27" s="32">
        <v>68</v>
      </c>
      <c r="X27" s="58">
        <v>76</v>
      </c>
    </row>
    <row r="28" spans="1:254" ht="12.75" customHeight="1">
      <c r="A28" s="2" t="s">
        <v>31</v>
      </c>
      <c r="B28" s="28">
        <v>50</v>
      </c>
      <c r="C28" s="29">
        <v>53</v>
      </c>
      <c r="D28" s="30">
        <v>51</v>
      </c>
      <c r="E28" s="30">
        <v>54</v>
      </c>
      <c r="F28" s="30">
        <v>73</v>
      </c>
      <c r="G28" s="30">
        <v>56</v>
      </c>
      <c r="H28" s="30">
        <v>58</v>
      </c>
      <c r="I28" s="6">
        <v>61</v>
      </c>
      <c r="J28" s="6">
        <v>57</v>
      </c>
      <c r="K28" s="6">
        <v>56</v>
      </c>
      <c r="L28" s="6">
        <f>36+22</f>
        <v>58</v>
      </c>
      <c r="M28" s="6">
        <f>34+23</f>
        <v>57</v>
      </c>
      <c r="N28" s="37">
        <v>59</v>
      </c>
      <c r="O28" s="38">
        <f>38+24</f>
        <v>62</v>
      </c>
      <c r="P28" s="30">
        <f>37+23</f>
        <v>60</v>
      </c>
      <c r="Q28" s="30">
        <v>59</v>
      </c>
      <c r="R28" s="23">
        <v>55</v>
      </c>
      <c r="S28" s="2">
        <v>53</v>
      </c>
      <c r="T28" s="2">
        <v>54</v>
      </c>
      <c r="U28" s="2">
        <v>55</v>
      </c>
      <c r="V28" s="32">
        <v>58</v>
      </c>
      <c r="W28" s="32">
        <v>63</v>
      </c>
      <c r="X28" s="58">
        <v>67</v>
      </c>
    </row>
    <row r="29" spans="1:254" ht="12.75" customHeight="1">
      <c r="A29" s="27" t="s">
        <v>32</v>
      </c>
      <c r="B29" s="28">
        <v>82</v>
      </c>
      <c r="C29" s="29">
        <v>94</v>
      </c>
      <c r="D29" s="30">
        <v>105</v>
      </c>
      <c r="E29" s="30">
        <v>93</v>
      </c>
      <c r="F29" s="30">
        <v>102</v>
      </c>
      <c r="G29" s="30">
        <v>102</v>
      </c>
      <c r="H29" s="30">
        <v>105</v>
      </c>
      <c r="I29" s="6">
        <v>90</v>
      </c>
      <c r="J29" s="6">
        <v>86</v>
      </c>
      <c r="K29" s="6">
        <f>49+41</f>
        <v>90</v>
      </c>
      <c r="L29" s="37">
        <f>49+39</f>
        <v>88</v>
      </c>
      <c r="M29" s="37">
        <f>51+37</f>
        <v>88</v>
      </c>
      <c r="N29" s="37">
        <f>51+36</f>
        <v>87</v>
      </c>
      <c r="O29" s="38">
        <f>52+38</f>
        <v>90</v>
      </c>
      <c r="P29" s="30">
        <v>92</v>
      </c>
      <c r="Q29" s="30">
        <v>90</v>
      </c>
      <c r="R29" s="23">
        <f>45+41</f>
        <v>86</v>
      </c>
      <c r="S29" s="2">
        <v>81</v>
      </c>
      <c r="T29" s="2">
        <v>87</v>
      </c>
      <c r="U29" s="2">
        <v>89</v>
      </c>
      <c r="V29" s="32">
        <v>93</v>
      </c>
      <c r="W29" s="32">
        <v>94</v>
      </c>
      <c r="X29" s="58">
        <v>98</v>
      </c>
    </row>
    <row r="30" spans="1:254" ht="12.75" customHeight="1">
      <c r="A30" s="27" t="s">
        <v>33</v>
      </c>
      <c r="B30" s="28">
        <v>42</v>
      </c>
      <c r="C30" s="29"/>
      <c r="D30" s="30"/>
      <c r="E30" s="30"/>
      <c r="F30" s="39" t="s">
        <v>34</v>
      </c>
      <c r="G30" s="30">
        <v>81</v>
      </c>
      <c r="H30" s="39" t="s">
        <v>34</v>
      </c>
      <c r="I30" s="37">
        <v>55</v>
      </c>
      <c r="J30" s="39" t="s">
        <v>34</v>
      </c>
      <c r="K30" s="37">
        <v>50</v>
      </c>
      <c r="L30" s="37">
        <v>59</v>
      </c>
      <c r="M30" s="37">
        <v>64</v>
      </c>
      <c r="N30" s="37">
        <f>57+16</f>
        <v>73</v>
      </c>
      <c r="O30" s="38">
        <v>74</v>
      </c>
      <c r="P30" s="30">
        <v>75</v>
      </c>
      <c r="Q30" s="30">
        <f>46+25</f>
        <v>71</v>
      </c>
      <c r="R30" s="23">
        <v>69</v>
      </c>
      <c r="S30" s="2">
        <v>70</v>
      </c>
      <c r="T30" s="2">
        <v>77</v>
      </c>
      <c r="U30" s="2">
        <f>51+29</f>
        <v>80</v>
      </c>
      <c r="V30" s="32">
        <v>88</v>
      </c>
      <c r="W30" s="32">
        <v>83</v>
      </c>
      <c r="X30" s="58">
        <v>82</v>
      </c>
    </row>
    <row r="31" spans="1:254" ht="12.75" customHeight="1">
      <c r="A31" s="27" t="s">
        <v>35</v>
      </c>
      <c r="B31" s="40" t="s">
        <v>36</v>
      </c>
      <c r="C31" s="29"/>
      <c r="D31" s="30"/>
      <c r="E31" s="30"/>
      <c r="F31" s="30"/>
      <c r="G31" s="30"/>
      <c r="H31" s="30"/>
      <c r="I31" s="6"/>
      <c r="J31" s="6"/>
      <c r="K31" s="6"/>
      <c r="L31" s="41" t="s">
        <v>36</v>
      </c>
      <c r="M31" s="41" t="s">
        <v>36</v>
      </c>
      <c r="N31" s="41" t="s">
        <v>36</v>
      </c>
      <c r="O31" s="42" t="s">
        <v>36</v>
      </c>
      <c r="P31" s="30">
        <v>30</v>
      </c>
      <c r="Q31" s="39" t="s">
        <v>34</v>
      </c>
      <c r="R31" s="23">
        <v>32</v>
      </c>
      <c r="S31" s="2">
        <v>30</v>
      </c>
      <c r="T31" s="2">
        <v>31</v>
      </c>
      <c r="U31" s="2">
        <v>31</v>
      </c>
      <c r="V31" s="32">
        <v>0</v>
      </c>
      <c r="W31" s="32">
        <v>35</v>
      </c>
      <c r="X31" s="58">
        <v>40</v>
      </c>
    </row>
    <row r="32" spans="1:254" ht="12.75" customHeight="1">
      <c r="A32" s="27" t="s">
        <v>53</v>
      </c>
      <c r="B32" s="40" t="s">
        <v>36</v>
      </c>
      <c r="C32" s="43" t="s">
        <v>36</v>
      </c>
      <c r="D32" s="43" t="s">
        <v>36</v>
      </c>
      <c r="E32" s="43" t="s">
        <v>36</v>
      </c>
      <c r="F32" s="43" t="s">
        <v>36</v>
      </c>
      <c r="G32" s="43" t="s">
        <v>36</v>
      </c>
      <c r="H32" s="43" t="s">
        <v>36</v>
      </c>
      <c r="I32" s="43" t="s">
        <v>36</v>
      </c>
      <c r="J32" s="43" t="s">
        <v>36</v>
      </c>
      <c r="K32" s="43" t="s">
        <v>36</v>
      </c>
      <c r="L32" s="43" t="s">
        <v>36</v>
      </c>
      <c r="M32" s="43" t="s">
        <v>36</v>
      </c>
      <c r="N32" s="43" t="s">
        <v>36</v>
      </c>
      <c r="O32" s="44" t="s">
        <v>36</v>
      </c>
      <c r="P32" s="43" t="s">
        <v>36</v>
      </c>
      <c r="Q32" s="43" t="s">
        <v>36</v>
      </c>
      <c r="R32" s="23">
        <v>10</v>
      </c>
      <c r="S32" s="2">
        <v>10</v>
      </c>
      <c r="T32" s="2">
        <v>19</v>
      </c>
      <c r="U32" s="2">
        <v>10</v>
      </c>
      <c r="V32" s="32">
        <v>33</v>
      </c>
      <c r="W32" s="32">
        <v>13</v>
      </c>
      <c r="X32" s="58">
        <v>14</v>
      </c>
    </row>
    <row r="33" spans="1:24" ht="12.75" customHeight="1">
      <c r="A33" s="27" t="s">
        <v>37</v>
      </c>
      <c r="B33" s="28">
        <v>62</v>
      </c>
      <c r="C33" s="29">
        <v>77</v>
      </c>
      <c r="D33" s="30">
        <v>73</v>
      </c>
      <c r="E33" s="30">
        <v>78</v>
      </c>
      <c r="F33" s="30">
        <v>106</v>
      </c>
      <c r="G33" s="30">
        <v>109</v>
      </c>
      <c r="H33" s="30">
        <v>107</v>
      </c>
      <c r="I33" s="6">
        <v>111</v>
      </c>
      <c r="J33" s="6">
        <v>117</v>
      </c>
      <c r="K33" s="6">
        <f>57+50</f>
        <v>107</v>
      </c>
      <c r="L33" s="6">
        <f>10+21+19+6+22+19+9+4</f>
        <v>110</v>
      </c>
      <c r="M33" s="6">
        <f>58+52</f>
        <v>110</v>
      </c>
      <c r="N33" s="37">
        <f>59+47</f>
        <v>106</v>
      </c>
      <c r="O33" s="38">
        <f>60+49</f>
        <v>109</v>
      </c>
      <c r="P33" s="30">
        <f>46+34</f>
        <v>80</v>
      </c>
      <c r="Q33" s="30">
        <v>81</v>
      </c>
      <c r="R33" s="23">
        <f>43+37</f>
        <v>80</v>
      </c>
      <c r="S33" s="2">
        <v>76</v>
      </c>
      <c r="T33" s="2">
        <v>82</v>
      </c>
      <c r="U33" s="2">
        <v>83</v>
      </c>
      <c r="V33" s="32">
        <v>13</v>
      </c>
      <c r="W33" s="32">
        <v>84</v>
      </c>
      <c r="X33" s="58">
        <v>88</v>
      </c>
    </row>
    <row r="34" spans="1:24" ht="12.75" customHeight="1">
      <c r="A34" s="27" t="s">
        <v>38</v>
      </c>
      <c r="B34" s="28">
        <f>38+1+1</f>
        <v>40</v>
      </c>
      <c r="C34" s="29">
        <v>49</v>
      </c>
      <c r="D34" s="30">
        <v>45</v>
      </c>
      <c r="E34" s="30">
        <v>46</v>
      </c>
      <c r="F34" s="30">
        <v>56</v>
      </c>
      <c r="G34" s="30">
        <v>58</v>
      </c>
      <c r="H34" s="30">
        <v>61</v>
      </c>
      <c r="I34" s="6">
        <v>65</v>
      </c>
      <c r="J34" s="6">
        <v>64</v>
      </c>
      <c r="K34" s="6">
        <f>34+24</f>
        <v>58</v>
      </c>
      <c r="L34" s="6">
        <f>4+7+5+5+10+18+6+3</f>
        <v>58</v>
      </c>
      <c r="M34" s="6">
        <f>34+26</f>
        <v>60</v>
      </c>
      <c r="N34" s="37">
        <f>31+31</f>
        <v>62</v>
      </c>
      <c r="O34" s="38">
        <v>61</v>
      </c>
      <c r="P34" s="30">
        <f>28+29</f>
        <v>57</v>
      </c>
      <c r="Q34" s="30">
        <v>63</v>
      </c>
      <c r="R34" s="23">
        <f>30+31</f>
        <v>61</v>
      </c>
      <c r="S34" s="2">
        <v>50</v>
      </c>
      <c r="T34" s="2">
        <v>54</v>
      </c>
      <c r="U34" s="2">
        <v>53</v>
      </c>
      <c r="V34" s="32">
        <v>83</v>
      </c>
      <c r="W34" s="32">
        <v>57</v>
      </c>
      <c r="X34" s="58">
        <v>55</v>
      </c>
    </row>
    <row r="35" spans="1:24" ht="12.75" customHeight="1">
      <c r="A35" s="27" t="s">
        <v>39</v>
      </c>
      <c r="B35" s="28">
        <v>109</v>
      </c>
      <c r="C35" s="29">
        <v>93</v>
      </c>
      <c r="D35" s="30">
        <v>101</v>
      </c>
      <c r="E35" s="30">
        <v>92</v>
      </c>
      <c r="F35" s="30">
        <v>110</v>
      </c>
      <c r="G35" s="30">
        <v>106</v>
      </c>
      <c r="H35" s="30">
        <v>100</v>
      </c>
      <c r="I35" s="6">
        <v>109</v>
      </c>
      <c r="J35" s="6">
        <v>110</v>
      </c>
      <c r="K35" s="6">
        <f>38+68</f>
        <v>106</v>
      </c>
      <c r="L35" s="6">
        <f>14+7+7+6+21+22+9+2+1+9+3</f>
        <v>101</v>
      </c>
      <c r="M35" s="6">
        <f>34+68</f>
        <v>102</v>
      </c>
      <c r="N35" s="37">
        <f>38+61</f>
        <v>99</v>
      </c>
      <c r="O35" s="38">
        <f>39+67</f>
        <v>106</v>
      </c>
      <c r="P35" s="30">
        <f>38+72</f>
        <v>110</v>
      </c>
      <c r="Q35" s="30">
        <v>99</v>
      </c>
      <c r="R35" s="23">
        <f>29+66</f>
        <v>95</v>
      </c>
      <c r="S35" s="2">
        <v>94</v>
      </c>
      <c r="T35" s="2">
        <v>96</v>
      </c>
      <c r="U35" s="2">
        <f>82+19</f>
        <v>101</v>
      </c>
      <c r="V35" s="32">
        <v>51</v>
      </c>
      <c r="W35" s="32">
        <v>106</v>
      </c>
      <c r="X35" s="58">
        <v>105</v>
      </c>
    </row>
    <row r="36" spans="1:24" ht="12.75" hidden="1" customHeight="1">
      <c r="A36" s="27" t="s">
        <v>40</v>
      </c>
      <c r="B36" s="28">
        <v>18</v>
      </c>
      <c r="C36" s="29">
        <v>20</v>
      </c>
      <c r="D36" s="39" t="s">
        <v>36</v>
      </c>
      <c r="E36" s="39" t="s">
        <v>36</v>
      </c>
      <c r="F36" s="39" t="s">
        <v>36</v>
      </c>
      <c r="G36" s="39" t="s">
        <v>36</v>
      </c>
      <c r="H36" s="39" t="s">
        <v>36</v>
      </c>
      <c r="I36" s="39" t="s">
        <v>36</v>
      </c>
      <c r="J36" s="39" t="s">
        <v>36</v>
      </c>
      <c r="K36" s="39" t="s">
        <v>36</v>
      </c>
      <c r="L36" s="39" t="s">
        <v>36</v>
      </c>
      <c r="M36" s="39" t="s">
        <v>36</v>
      </c>
      <c r="N36" s="39" t="s">
        <v>36</v>
      </c>
      <c r="O36" s="45" t="s">
        <v>36</v>
      </c>
      <c r="P36" s="39" t="s">
        <v>36</v>
      </c>
      <c r="Q36" s="39" t="s">
        <v>36</v>
      </c>
      <c r="R36" s="43" t="s">
        <v>36</v>
      </c>
      <c r="S36" s="43" t="s">
        <v>36</v>
      </c>
      <c r="T36" s="43" t="s">
        <v>36</v>
      </c>
      <c r="U36" s="43" t="s">
        <v>36</v>
      </c>
      <c r="V36" s="43">
        <v>102</v>
      </c>
      <c r="W36" s="43"/>
      <c r="X36" s="43">
        <v>33</v>
      </c>
    </row>
    <row r="37" spans="1:24" ht="12.75" customHeight="1">
      <c r="A37" s="2" t="s">
        <v>41</v>
      </c>
      <c r="B37" s="28">
        <v>50</v>
      </c>
      <c r="C37" s="29">
        <v>54</v>
      </c>
      <c r="D37" s="30">
        <v>56</v>
      </c>
      <c r="E37" s="30">
        <v>52</v>
      </c>
      <c r="F37" s="30">
        <v>47</v>
      </c>
      <c r="G37" s="30">
        <v>58</v>
      </c>
      <c r="H37" s="30">
        <v>49</v>
      </c>
      <c r="I37" s="6">
        <v>60</v>
      </c>
      <c r="J37" s="6">
        <v>51</v>
      </c>
      <c r="K37" s="6">
        <f>26+27</f>
        <v>53</v>
      </c>
      <c r="L37" s="6">
        <f>27+24</f>
        <v>51</v>
      </c>
      <c r="M37" s="6">
        <f>1+7+2+5+1+4+5+8+12+6+2+1+3+2+2</f>
        <v>61</v>
      </c>
      <c r="N37" s="37">
        <f>36+23</f>
        <v>59</v>
      </c>
      <c r="O37" s="38">
        <v>67</v>
      </c>
      <c r="P37" s="30">
        <f>32+46</f>
        <v>78</v>
      </c>
      <c r="Q37" s="30">
        <f>57+17</f>
        <v>74</v>
      </c>
      <c r="R37" s="23">
        <v>75</v>
      </c>
      <c r="S37" s="2">
        <v>51</v>
      </c>
      <c r="T37" s="2">
        <v>52</v>
      </c>
      <c r="U37" s="2">
        <v>51</v>
      </c>
      <c r="V37" s="32">
        <v>51</v>
      </c>
      <c r="W37" s="32">
        <v>54</v>
      </c>
      <c r="X37" s="58" t="s">
        <v>63</v>
      </c>
    </row>
    <row r="38" spans="1:24" ht="12.75" customHeight="1">
      <c r="A38" s="2" t="s">
        <v>42</v>
      </c>
      <c r="B38" s="28">
        <v>31</v>
      </c>
      <c r="C38" s="29">
        <v>28</v>
      </c>
      <c r="D38" s="30">
        <v>30</v>
      </c>
      <c r="E38" s="30">
        <v>33</v>
      </c>
      <c r="F38" s="30">
        <v>32</v>
      </c>
      <c r="G38" s="30">
        <v>32</v>
      </c>
      <c r="H38" s="30">
        <v>34</v>
      </c>
      <c r="I38" s="6">
        <v>38</v>
      </c>
      <c r="J38" s="6">
        <v>39</v>
      </c>
      <c r="K38" s="6">
        <f>15+23</f>
        <v>38</v>
      </c>
      <c r="L38" s="6">
        <f>15+23</f>
        <v>38</v>
      </c>
      <c r="M38" s="6">
        <f>17+23</f>
        <v>40</v>
      </c>
      <c r="N38" s="37">
        <f>23+23</f>
        <v>46</v>
      </c>
      <c r="O38" s="38">
        <f>20+32</f>
        <v>52</v>
      </c>
      <c r="P38" s="30">
        <f>24+31</f>
        <v>55</v>
      </c>
      <c r="Q38" s="30">
        <f>45+12</f>
        <v>57</v>
      </c>
      <c r="R38" s="23">
        <f>27+31</f>
        <v>58</v>
      </c>
      <c r="S38" s="2">
        <v>58</v>
      </c>
      <c r="T38" s="2">
        <v>62</v>
      </c>
      <c r="U38" s="2">
        <v>66</v>
      </c>
      <c r="V38" s="32">
        <v>66</v>
      </c>
      <c r="W38" s="32">
        <v>67</v>
      </c>
      <c r="X38" s="58">
        <v>70</v>
      </c>
    </row>
    <row r="39" spans="1:24" ht="12.75" customHeight="1">
      <c r="A39" s="27" t="s">
        <v>57</v>
      </c>
      <c r="B39" s="28">
        <v>8</v>
      </c>
      <c r="C39" s="29">
        <v>16</v>
      </c>
      <c r="D39" s="39" t="s">
        <v>34</v>
      </c>
      <c r="E39" s="30">
        <v>15</v>
      </c>
      <c r="F39" s="30">
        <v>20</v>
      </c>
      <c r="G39" s="30">
        <v>18</v>
      </c>
      <c r="H39" s="30">
        <v>19</v>
      </c>
      <c r="I39" s="30">
        <v>18</v>
      </c>
      <c r="J39" s="30">
        <v>20</v>
      </c>
      <c r="K39" s="30">
        <v>20</v>
      </c>
      <c r="L39" s="30">
        <f>9+13</f>
        <v>22</v>
      </c>
      <c r="M39" s="30">
        <f>9+13</f>
        <v>22</v>
      </c>
      <c r="N39" s="30">
        <f>11+14</f>
        <v>25</v>
      </c>
      <c r="O39" s="31">
        <f>7+8+5+3+2</f>
        <v>25</v>
      </c>
      <c r="P39" s="30">
        <v>27</v>
      </c>
      <c r="Q39" s="30">
        <f>27+1</f>
        <v>28</v>
      </c>
      <c r="R39" s="23">
        <v>28</v>
      </c>
      <c r="S39" s="2">
        <v>26</v>
      </c>
      <c r="T39" s="2">
        <v>28</v>
      </c>
      <c r="U39" s="2">
        <v>29</v>
      </c>
      <c r="V39" s="32">
        <v>31</v>
      </c>
      <c r="W39" s="32">
        <v>30</v>
      </c>
      <c r="X39" s="58" t="s">
        <v>63</v>
      </c>
    </row>
    <row r="40" spans="1:24" ht="12.75" customHeight="1">
      <c r="A40" s="2" t="s">
        <v>43</v>
      </c>
      <c r="B40" s="28">
        <v>27</v>
      </c>
      <c r="C40" s="29">
        <v>26</v>
      </c>
      <c r="D40" s="30">
        <v>27</v>
      </c>
      <c r="E40" s="30">
        <v>33</v>
      </c>
      <c r="F40" s="30">
        <v>19</v>
      </c>
      <c r="G40" s="30">
        <v>22</v>
      </c>
      <c r="H40" s="30">
        <v>22</v>
      </c>
      <c r="I40" s="6">
        <v>21</v>
      </c>
      <c r="J40" s="6">
        <v>24</v>
      </c>
      <c r="K40" s="6">
        <f>11+14</f>
        <v>25</v>
      </c>
      <c r="L40" s="6">
        <f>11+14</f>
        <v>25</v>
      </c>
      <c r="M40" s="6">
        <f>14+16</f>
        <v>30</v>
      </c>
      <c r="N40" s="37">
        <v>29</v>
      </c>
      <c r="O40" s="38">
        <v>32</v>
      </c>
      <c r="P40" s="30">
        <f>15+17</f>
        <v>32</v>
      </c>
      <c r="Q40" s="30">
        <f>24+9</f>
        <v>33</v>
      </c>
      <c r="R40" s="23">
        <v>33</v>
      </c>
      <c r="S40" s="2">
        <v>33</v>
      </c>
      <c r="T40" s="2">
        <v>34</v>
      </c>
      <c r="U40" s="2">
        <v>29</v>
      </c>
      <c r="V40" s="32">
        <v>31</v>
      </c>
      <c r="W40" s="32">
        <v>33</v>
      </c>
      <c r="X40" s="58" t="s">
        <v>63</v>
      </c>
    </row>
    <row r="41" spans="1:24" ht="12.75" customHeight="1">
      <c r="A41" s="2" t="s">
        <v>44</v>
      </c>
      <c r="B41" s="40" t="s">
        <v>36</v>
      </c>
      <c r="C41" s="46" t="s">
        <v>36</v>
      </c>
      <c r="D41" s="39" t="s">
        <v>36</v>
      </c>
      <c r="E41" s="39" t="s">
        <v>36</v>
      </c>
      <c r="F41" s="39" t="s">
        <v>36</v>
      </c>
      <c r="G41" s="39" t="s">
        <v>36</v>
      </c>
      <c r="H41" s="30">
        <v>77</v>
      </c>
      <c r="I41" s="6">
        <v>75</v>
      </c>
      <c r="J41" s="6">
        <v>89</v>
      </c>
      <c r="K41" s="6">
        <f>22+27</f>
        <v>49</v>
      </c>
      <c r="L41" s="6">
        <f>5+12+6+19+2+5+5</f>
        <v>54</v>
      </c>
      <c r="M41" s="6">
        <f>53+42</f>
        <v>95</v>
      </c>
      <c r="N41" s="37">
        <f>52+43</f>
        <v>95</v>
      </c>
      <c r="O41" s="38">
        <f>57+46</f>
        <v>103</v>
      </c>
      <c r="P41" s="39">
        <f>58+50</f>
        <v>108</v>
      </c>
      <c r="Q41" s="39">
        <v>113</v>
      </c>
      <c r="R41" s="23">
        <f>66+55</f>
        <v>121</v>
      </c>
      <c r="S41" s="2">
        <v>127</v>
      </c>
      <c r="T41" s="2">
        <v>131</v>
      </c>
      <c r="U41" s="2">
        <f>116+22</f>
        <v>138</v>
      </c>
      <c r="V41" s="32">
        <v>144</v>
      </c>
      <c r="W41" s="32">
        <v>169</v>
      </c>
      <c r="X41" s="58" t="s">
        <v>63</v>
      </c>
    </row>
    <row r="42" spans="1:24" ht="12.75" customHeight="1">
      <c r="A42" s="2" t="s">
        <v>46</v>
      </c>
      <c r="B42" s="40" t="s">
        <v>36</v>
      </c>
      <c r="C42" s="46" t="s">
        <v>36</v>
      </c>
      <c r="D42" s="30">
        <v>37</v>
      </c>
      <c r="E42" s="30">
        <v>40</v>
      </c>
      <c r="F42" s="30">
        <v>168</v>
      </c>
      <c r="G42" s="30">
        <v>49</v>
      </c>
      <c r="H42" s="30">
        <v>55</v>
      </c>
      <c r="I42" s="6">
        <v>60</v>
      </c>
      <c r="J42" s="6">
        <v>60</v>
      </c>
      <c r="K42" s="6">
        <f>28+32</f>
        <v>60</v>
      </c>
      <c r="L42" s="6">
        <f>29+32</f>
        <v>61</v>
      </c>
      <c r="M42" s="6">
        <f>12+4+5+10+8+7+12+1</f>
        <v>59</v>
      </c>
      <c r="N42" s="37">
        <v>63</v>
      </c>
      <c r="O42" s="38">
        <f>32+34</f>
        <v>66</v>
      </c>
      <c r="P42" s="39">
        <f>32+35</f>
        <v>67</v>
      </c>
      <c r="Q42" s="39">
        <v>67</v>
      </c>
      <c r="R42" s="23">
        <v>72</v>
      </c>
      <c r="S42" s="2">
        <v>75</v>
      </c>
      <c r="T42" s="2">
        <v>79</v>
      </c>
      <c r="U42" s="2">
        <v>81</v>
      </c>
      <c r="V42" s="32">
        <v>84</v>
      </c>
      <c r="W42" s="32">
        <v>90</v>
      </c>
      <c r="X42" s="58">
        <v>94</v>
      </c>
    </row>
    <row r="43" spans="1:24" ht="12.75" customHeight="1">
      <c r="A43" s="27" t="s">
        <v>47</v>
      </c>
      <c r="B43" s="28">
        <v>165</v>
      </c>
      <c r="C43" s="29">
        <v>158</v>
      </c>
      <c r="D43" s="30">
        <v>152</v>
      </c>
      <c r="E43" s="30">
        <v>151</v>
      </c>
      <c r="F43" s="30">
        <v>147</v>
      </c>
      <c r="G43" s="30">
        <v>144</v>
      </c>
      <c r="H43" s="30">
        <v>135</v>
      </c>
      <c r="I43" s="6">
        <v>139</v>
      </c>
      <c r="J43" s="6">
        <v>128</v>
      </c>
      <c r="K43" s="6">
        <f>78+55</f>
        <v>133</v>
      </c>
      <c r="L43" s="6">
        <f>77+56</f>
        <v>133</v>
      </c>
      <c r="M43" s="37">
        <v>131</v>
      </c>
      <c r="N43" s="37">
        <f>75+58</f>
        <v>133</v>
      </c>
      <c r="O43" s="38">
        <f>66+60</f>
        <v>126</v>
      </c>
      <c r="P43" s="30">
        <f>69+54</f>
        <v>123</v>
      </c>
      <c r="Q43" s="30">
        <v>127</v>
      </c>
      <c r="R43" s="23">
        <f>66+44</f>
        <v>110</v>
      </c>
      <c r="S43" s="2">
        <v>110</v>
      </c>
      <c r="T43" s="2">
        <v>126</v>
      </c>
      <c r="U43" s="2">
        <v>126</v>
      </c>
      <c r="V43" s="32">
        <v>124</v>
      </c>
      <c r="W43" s="32">
        <v>118</v>
      </c>
      <c r="X43" s="58">
        <v>122</v>
      </c>
    </row>
    <row r="44" spans="1:24" ht="12.75" customHeight="1">
      <c r="A44" s="27" t="s">
        <v>48</v>
      </c>
      <c r="B44" s="28">
        <v>145</v>
      </c>
      <c r="C44" s="29">
        <v>131</v>
      </c>
      <c r="D44" s="30">
        <v>133</v>
      </c>
      <c r="E44" s="30">
        <v>133</v>
      </c>
      <c r="F44" s="30">
        <v>131</v>
      </c>
      <c r="G44" s="30">
        <v>125</v>
      </c>
      <c r="H44" s="30">
        <v>121</v>
      </c>
      <c r="I44" s="6">
        <v>128</v>
      </c>
      <c r="J44" s="6">
        <v>121</v>
      </c>
      <c r="K44" s="6">
        <f>56+70</f>
        <v>126</v>
      </c>
      <c r="L44" s="6">
        <f>56+66</f>
        <v>122</v>
      </c>
      <c r="M44" s="37">
        <v>125</v>
      </c>
      <c r="N44" s="37">
        <f>55+65</f>
        <v>120</v>
      </c>
      <c r="O44" s="38">
        <f>55+62</f>
        <v>117</v>
      </c>
      <c r="P44" s="30">
        <f>61+64</f>
        <v>125</v>
      </c>
      <c r="Q44" s="30">
        <v>124</v>
      </c>
      <c r="R44" s="23">
        <f>54+57</f>
        <v>111</v>
      </c>
      <c r="S44" s="2">
        <v>119</v>
      </c>
      <c r="T44" s="2">
        <v>124</v>
      </c>
      <c r="U44" s="2">
        <v>130</v>
      </c>
      <c r="V44" s="32">
        <v>135</v>
      </c>
      <c r="W44" s="32">
        <v>123</v>
      </c>
      <c r="X44" s="58">
        <v>132</v>
      </c>
    </row>
    <row r="45" spans="1:24" ht="12.75" customHeight="1">
      <c r="A45" s="27" t="s">
        <v>49</v>
      </c>
      <c r="B45" s="28">
        <v>185</v>
      </c>
      <c r="C45" s="29">
        <v>181</v>
      </c>
      <c r="D45" s="30">
        <v>182</v>
      </c>
      <c r="E45" s="30">
        <v>183</v>
      </c>
      <c r="F45" s="30">
        <v>182</v>
      </c>
      <c r="G45" s="30">
        <v>180</v>
      </c>
      <c r="H45" s="30">
        <v>174</v>
      </c>
      <c r="I45" s="6">
        <v>186</v>
      </c>
      <c r="J45" s="6">
        <v>182</v>
      </c>
      <c r="K45" s="6">
        <f>98+88</f>
        <v>186</v>
      </c>
      <c r="L45" s="6">
        <f>101+90</f>
        <v>191</v>
      </c>
      <c r="M45" s="37">
        <v>185</v>
      </c>
      <c r="N45" s="37">
        <f>94+88</f>
        <v>182</v>
      </c>
      <c r="O45" s="38">
        <v>188</v>
      </c>
      <c r="P45" s="30">
        <f>86+100</f>
        <v>186</v>
      </c>
      <c r="Q45" s="30">
        <v>181</v>
      </c>
      <c r="R45" s="23">
        <f>76+91</f>
        <v>167</v>
      </c>
      <c r="S45" s="2">
        <v>173</v>
      </c>
      <c r="T45" s="2">
        <v>181</v>
      </c>
      <c r="U45" s="2">
        <v>184</v>
      </c>
      <c r="V45" s="32">
        <v>186</v>
      </c>
      <c r="W45" s="32">
        <v>166</v>
      </c>
      <c r="X45" s="58">
        <v>180</v>
      </c>
    </row>
    <row r="46" spans="1:24" ht="12.75" customHeight="1">
      <c r="A46" s="27" t="s">
        <v>61</v>
      </c>
      <c r="B46" s="40" t="s">
        <v>36</v>
      </c>
      <c r="C46" s="40" t="s">
        <v>36</v>
      </c>
      <c r="D46" s="40" t="s">
        <v>36</v>
      </c>
      <c r="E46" s="40" t="s">
        <v>36</v>
      </c>
      <c r="F46" s="40" t="s">
        <v>36</v>
      </c>
      <c r="G46" s="40" t="s">
        <v>36</v>
      </c>
      <c r="H46" s="40" t="s">
        <v>36</v>
      </c>
      <c r="I46" s="40" t="s">
        <v>36</v>
      </c>
      <c r="J46" s="40" t="s">
        <v>36</v>
      </c>
      <c r="K46" s="40" t="s">
        <v>36</v>
      </c>
      <c r="L46" s="40" t="s">
        <v>36</v>
      </c>
      <c r="M46" s="40" t="s">
        <v>36</v>
      </c>
      <c r="N46" s="40" t="s">
        <v>36</v>
      </c>
      <c r="O46" s="40" t="s">
        <v>36</v>
      </c>
      <c r="P46" s="40" t="s">
        <v>36</v>
      </c>
      <c r="Q46" s="40" t="s">
        <v>36</v>
      </c>
      <c r="R46" s="40" t="s">
        <v>36</v>
      </c>
      <c r="S46" s="46" t="s">
        <v>36</v>
      </c>
      <c r="T46" s="46" t="s">
        <v>36</v>
      </c>
      <c r="U46" s="46" t="s">
        <v>36</v>
      </c>
      <c r="V46" s="46" t="s">
        <v>36</v>
      </c>
      <c r="W46" s="47">
        <v>5</v>
      </c>
      <c r="X46" s="59">
        <v>8</v>
      </c>
    </row>
    <row r="47" spans="1:24" ht="12.75" customHeight="1">
      <c r="A47" s="2" t="s">
        <v>45</v>
      </c>
      <c r="B47" s="28">
        <v>52</v>
      </c>
      <c r="C47" s="29">
        <v>66</v>
      </c>
      <c r="D47" s="39">
        <v>54</v>
      </c>
      <c r="E47" s="30">
        <v>67</v>
      </c>
      <c r="F47" s="30">
        <v>53</v>
      </c>
      <c r="G47" s="30">
        <v>68</v>
      </c>
      <c r="H47" s="30">
        <v>48</v>
      </c>
      <c r="I47" s="6">
        <v>66</v>
      </c>
      <c r="J47" s="6">
        <v>66</v>
      </c>
      <c r="K47" s="6">
        <f>26+31</f>
        <v>57</v>
      </c>
      <c r="L47" s="6">
        <f>28+29</f>
        <v>57</v>
      </c>
      <c r="M47" s="37">
        <v>51</v>
      </c>
      <c r="N47" s="37">
        <v>58</v>
      </c>
      <c r="O47" s="38">
        <f>36+31</f>
        <v>67</v>
      </c>
      <c r="P47" s="30">
        <f>39+31</f>
        <v>70</v>
      </c>
      <c r="Q47" s="30">
        <f>65+6</f>
        <v>71</v>
      </c>
      <c r="R47" s="23">
        <v>70</v>
      </c>
      <c r="S47" s="2">
        <v>76</v>
      </c>
      <c r="T47" s="2">
        <v>63</v>
      </c>
      <c r="U47" s="2">
        <f>55+11</f>
        <v>66</v>
      </c>
      <c r="V47" s="32">
        <v>66</v>
      </c>
      <c r="W47" s="32">
        <v>65</v>
      </c>
      <c r="X47" s="58">
        <v>65</v>
      </c>
    </row>
    <row r="48" spans="1:24" ht="12.75" customHeight="1">
      <c r="A48" s="2" t="s">
        <v>50</v>
      </c>
      <c r="B48" s="28">
        <v>50</v>
      </c>
      <c r="C48" s="29">
        <v>55</v>
      </c>
      <c r="D48" s="30">
        <v>54</v>
      </c>
      <c r="E48" s="30">
        <v>51</v>
      </c>
      <c r="F48" s="30">
        <v>52</v>
      </c>
      <c r="G48" s="30">
        <v>50</v>
      </c>
      <c r="H48" s="30">
        <v>53</v>
      </c>
      <c r="I48" s="6">
        <v>53</v>
      </c>
      <c r="J48" s="6">
        <v>53</v>
      </c>
      <c r="K48" s="6">
        <f>31+22</f>
        <v>53</v>
      </c>
      <c r="L48" s="6">
        <v>54</v>
      </c>
      <c r="M48" s="37">
        <v>53</v>
      </c>
      <c r="N48" s="37">
        <f>27+27</f>
        <v>54</v>
      </c>
      <c r="O48" s="38">
        <v>54</v>
      </c>
      <c r="P48" s="30">
        <f>23+29</f>
        <v>52</v>
      </c>
      <c r="Q48" s="30">
        <v>54</v>
      </c>
      <c r="R48" s="23">
        <f>22+33</f>
        <v>55</v>
      </c>
      <c r="S48" s="2">
        <v>53</v>
      </c>
      <c r="T48" s="2">
        <v>57</v>
      </c>
      <c r="U48" s="2">
        <v>58</v>
      </c>
      <c r="V48" s="32">
        <v>61</v>
      </c>
      <c r="W48" s="32">
        <v>60</v>
      </c>
      <c r="X48" s="58">
        <v>66</v>
      </c>
    </row>
    <row r="49" spans="1:254" ht="12.75" customHeight="1">
      <c r="A49" s="27" t="s">
        <v>28</v>
      </c>
      <c r="B49" s="28">
        <f t="shared" ref="B49:S49" si="1">SUM(B27:B48)</f>
        <v>1157</v>
      </c>
      <c r="C49" s="29">
        <f t="shared" si="1"/>
        <v>1164</v>
      </c>
      <c r="D49" s="34">
        <f t="shared" si="1"/>
        <v>1171</v>
      </c>
      <c r="E49" s="34">
        <f t="shared" si="1"/>
        <v>1184</v>
      </c>
      <c r="F49" s="34">
        <f t="shared" si="1"/>
        <v>1366</v>
      </c>
      <c r="G49" s="34">
        <f t="shared" si="1"/>
        <v>1321</v>
      </c>
      <c r="H49" s="34">
        <f t="shared" si="1"/>
        <v>1279</v>
      </c>
      <c r="I49" s="34">
        <f t="shared" si="1"/>
        <v>1395</v>
      </c>
      <c r="J49" s="34">
        <f t="shared" si="1"/>
        <v>1319</v>
      </c>
      <c r="K49" s="34">
        <f t="shared" si="1"/>
        <v>1321</v>
      </c>
      <c r="L49" s="34">
        <f t="shared" si="1"/>
        <v>1342</v>
      </c>
      <c r="M49" s="34">
        <f t="shared" si="1"/>
        <v>1403</v>
      </c>
      <c r="N49" s="34">
        <f t="shared" si="1"/>
        <v>1419</v>
      </c>
      <c r="O49" s="35">
        <f t="shared" si="1"/>
        <v>1472</v>
      </c>
      <c r="P49" s="34">
        <f t="shared" si="1"/>
        <v>1502</v>
      </c>
      <c r="Q49" s="34">
        <f t="shared" si="1"/>
        <v>1459</v>
      </c>
      <c r="R49" s="34">
        <f t="shared" si="1"/>
        <v>1454</v>
      </c>
      <c r="S49" s="34">
        <f t="shared" si="1"/>
        <v>1427</v>
      </c>
      <c r="T49" s="34">
        <f>SUM(T27:T48)</f>
        <v>1501</v>
      </c>
      <c r="U49" s="34">
        <f>SUM(U27:U48)</f>
        <v>1524</v>
      </c>
      <c r="V49" s="34">
        <f>SUM(V27:V48)</f>
        <v>1566</v>
      </c>
      <c r="W49" s="34">
        <f>SUM(W27:W48)</f>
        <v>1583</v>
      </c>
      <c r="X49" s="43" t="str">
        <f>CONCATENATE(SUM(X27:X48),"*")</f>
        <v>1395*</v>
      </c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</row>
    <row r="50" spans="1:254" ht="12.75" customHeight="1">
      <c r="B50" s="28"/>
      <c r="C50" s="29"/>
      <c r="D50" s="30"/>
      <c r="E50" s="30"/>
      <c r="F50" s="30"/>
      <c r="G50" s="30"/>
      <c r="H50" s="30"/>
      <c r="I50" s="6"/>
      <c r="J50" s="6"/>
      <c r="K50" s="6"/>
      <c r="L50" s="6"/>
      <c r="M50" s="37"/>
      <c r="N50" s="37"/>
      <c r="O50" s="38"/>
      <c r="P50" s="30"/>
      <c r="Q50" s="30"/>
      <c r="R50" s="23"/>
      <c r="S50" s="23"/>
      <c r="T50" s="23"/>
      <c r="U50" s="23"/>
      <c r="V50" s="23"/>
      <c r="W50" s="23"/>
      <c r="X50" s="60"/>
    </row>
    <row r="51" spans="1:254" ht="12.75" customHeight="1" thickBot="1">
      <c r="A51" s="12" t="s">
        <v>51</v>
      </c>
      <c r="B51" s="48">
        <f t="shared" ref="B51:R51" si="2">SUM(B49+B23)</f>
        <v>7036</v>
      </c>
      <c r="C51" s="29">
        <f t="shared" si="2"/>
        <v>7084</v>
      </c>
      <c r="D51" s="34">
        <f t="shared" si="2"/>
        <v>7177</v>
      </c>
      <c r="E51" s="34">
        <f t="shared" si="2"/>
        <v>7363</v>
      </c>
      <c r="F51" s="34">
        <f t="shared" si="2"/>
        <v>7597</v>
      </c>
      <c r="G51" s="34">
        <f t="shared" si="2"/>
        <v>7636</v>
      </c>
      <c r="H51" s="34">
        <f t="shared" si="2"/>
        <v>7431</v>
      </c>
      <c r="I51" s="34">
        <f t="shared" si="2"/>
        <v>7697</v>
      </c>
      <c r="J51" s="34">
        <f t="shared" si="2"/>
        <v>7813</v>
      </c>
      <c r="K51" s="34">
        <f t="shared" si="2"/>
        <v>7847</v>
      </c>
      <c r="L51" s="34">
        <f t="shared" si="2"/>
        <v>7918</v>
      </c>
      <c r="M51" s="34">
        <f t="shared" si="2"/>
        <v>8083</v>
      </c>
      <c r="N51" s="34">
        <f t="shared" si="2"/>
        <v>8230</v>
      </c>
      <c r="O51" s="49">
        <f t="shared" si="2"/>
        <v>8461</v>
      </c>
      <c r="P51" s="34">
        <f t="shared" si="2"/>
        <v>8457</v>
      </c>
      <c r="Q51" s="34">
        <f t="shared" si="2"/>
        <v>8272</v>
      </c>
      <c r="R51" s="50">
        <f t="shared" si="2"/>
        <v>8629</v>
      </c>
      <c r="S51" s="50">
        <f>SUM(S49+S23)</f>
        <v>8530</v>
      </c>
      <c r="T51" s="50">
        <f>SUM(T49+T23)</f>
        <v>8995</v>
      </c>
      <c r="U51" s="50">
        <f>SUM(U49+U23)</f>
        <v>9071</v>
      </c>
      <c r="V51" s="50">
        <f>SUM(V49+V23)</f>
        <v>9284</v>
      </c>
      <c r="W51" s="50">
        <f>SUM(W49+W23)</f>
        <v>9431</v>
      </c>
      <c r="X51" s="61" t="str">
        <f>CONCATENATE(SUM(X10:X22,X27:X48),"*")</f>
        <v>8892*</v>
      </c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</row>
    <row r="52" spans="1:254" ht="12.75" customHeight="1" thickTop="1">
      <c r="A52" s="51" t="s">
        <v>52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12"/>
      <c r="S52" s="6"/>
      <c r="T52" s="6"/>
      <c r="U52" s="6"/>
      <c r="V52" s="6"/>
      <c r="W52" s="6"/>
      <c r="X52" s="62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</row>
    <row r="53" spans="1:254" ht="12.75" customHeight="1">
      <c r="A53" s="27" t="s">
        <v>58</v>
      </c>
      <c r="R53" s="12"/>
      <c r="S53" s="6"/>
      <c r="T53" s="6"/>
      <c r="U53" s="6"/>
      <c r="V53" s="6"/>
      <c r="W53" s="6"/>
      <c r="X53" s="62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</row>
    <row r="54" spans="1:254" ht="12.75" customHeight="1">
      <c r="A54" s="2" t="s">
        <v>64</v>
      </c>
      <c r="R54" s="12"/>
      <c r="S54" s="6"/>
      <c r="T54" s="6"/>
      <c r="U54" s="6"/>
      <c r="V54" s="6"/>
      <c r="W54" s="6"/>
      <c r="X54" s="62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</row>
    <row r="55" spans="1:254" ht="12.7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53"/>
      <c r="R55" s="12"/>
      <c r="S55" s="6"/>
      <c r="T55" s="6"/>
      <c r="U55" s="6"/>
      <c r="V55" s="6"/>
      <c r="W55" s="6"/>
      <c r="X55" s="62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</row>
    <row r="56" spans="1:254" ht="12.7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6"/>
      <c r="T56" s="6"/>
      <c r="U56" s="6"/>
      <c r="V56" s="6"/>
      <c r="W56" s="6"/>
      <c r="X56" s="62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</row>
    <row r="57" spans="1:254" ht="12.7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6"/>
      <c r="T57" s="6"/>
      <c r="U57" s="6"/>
      <c r="V57" s="6"/>
      <c r="W57" s="6"/>
      <c r="X57" s="62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</row>
    <row r="58" spans="1:254" ht="12.7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6"/>
      <c r="T58" s="6"/>
      <c r="U58" s="6"/>
      <c r="V58" s="6"/>
      <c r="W58" s="6"/>
      <c r="X58" s="62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</row>
    <row r="59" spans="1:254" ht="12.7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6"/>
      <c r="T59" s="6"/>
      <c r="U59" s="6"/>
      <c r="V59" s="6"/>
      <c r="W59" s="6"/>
      <c r="X59" s="62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</row>
    <row r="60" spans="1:254" ht="12.75" customHeight="1">
      <c r="Y60" s="6"/>
      <c r="Z60" s="6"/>
    </row>
    <row r="61" spans="1:254" ht="12.75" customHeight="1">
      <c r="Y61" s="6"/>
      <c r="Z61" s="6"/>
    </row>
    <row r="62" spans="1:254" ht="12.75" customHeight="1">
      <c r="Y62" s="6"/>
      <c r="Z62" s="6"/>
    </row>
    <row r="63" spans="1:254" ht="12.75" customHeight="1">
      <c r="Y63" s="6"/>
      <c r="Z63" s="6"/>
    </row>
    <row r="64" spans="1:254" ht="12.75" customHeight="1">
      <c r="Y64" s="6"/>
      <c r="Z64" s="6"/>
    </row>
    <row r="65" spans="2:17" ht="12.75" customHeight="1"/>
    <row r="66" spans="2:17" ht="12.75" customHeight="1">
      <c r="B66" s="32"/>
      <c r="H66" s="32"/>
      <c r="P66" s="54"/>
      <c r="Q66" s="54"/>
    </row>
    <row r="67" spans="2:17" ht="12.75" customHeight="1">
      <c r="B67" s="32"/>
      <c r="H67" s="32"/>
      <c r="P67" s="54"/>
      <c r="Q67" s="54"/>
    </row>
    <row r="68" spans="2:17" ht="12.75" customHeight="1">
      <c r="B68" s="32"/>
      <c r="H68" s="32"/>
      <c r="P68" s="54"/>
      <c r="Q68" s="54"/>
    </row>
    <row r="69" spans="2:17" ht="12.75" customHeight="1">
      <c r="B69" s="32"/>
      <c r="H69" s="32"/>
      <c r="P69" s="54"/>
      <c r="Q69" s="54"/>
    </row>
    <row r="70" spans="2:17" ht="12.75" customHeight="1">
      <c r="B70" s="32"/>
      <c r="H70" s="32"/>
      <c r="P70" s="54"/>
      <c r="Q70" s="54"/>
    </row>
    <row r="71" spans="2:17" ht="12.75" customHeight="1">
      <c r="B71" s="32"/>
      <c r="H71" s="32"/>
      <c r="P71" s="54"/>
      <c r="Q71" s="54"/>
    </row>
    <row r="72" spans="2:17" ht="12.75" customHeight="1">
      <c r="B72" s="32"/>
      <c r="H72" s="32"/>
      <c r="P72" s="54"/>
      <c r="Q72" s="54"/>
    </row>
    <row r="73" spans="2:17" ht="12.75" customHeight="1">
      <c r="B73" s="32"/>
      <c r="H73" s="32"/>
      <c r="P73" s="54"/>
      <c r="Q73" s="54"/>
    </row>
    <row r="74" spans="2:17" ht="12.75" customHeight="1">
      <c r="B74" s="32"/>
      <c r="H74" s="32"/>
      <c r="P74" s="54"/>
      <c r="Q74" s="54"/>
    </row>
    <row r="75" spans="2:17" ht="12.75" customHeight="1">
      <c r="B75" s="32"/>
      <c r="H75" s="32"/>
      <c r="P75" s="54"/>
      <c r="Q75" s="54"/>
    </row>
    <row r="76" spans="2:17" ht="12.75" customHeight="1">
      <c r="B76" s="32"/>
      <c r="H76" s="32"/>
      <c r="P76" s="54"/>
      <c r="Q76" s="54"/>
    </row>
    <row r="77" spans="2:17" ht="12.75" customHeight="1">
      <c r="B77" s="32"/>
      <c r="H77" s="32"/>
      <c r="P77" s="54"/>
      <c r="Q77" s="54"/>
    </row>
    <row r="78" spans="2:17" ht="12.75" customHeight="1">
      <c r="B78" s="32"/>
      <c r="H78" s="32"/>
      <c r="P78" s="54"/>
      <c r="Q78" s="54"/>
    </row>
    <row r="79" spans="2:17" ht="12.75" customHeight="1">
      <c r="B79" s="32"/>
      <c r="H79" s="32"/>
      <c r="P79" s="54"/>
      <c r="Q79" s="54"/>
    </row>
    <row r="80" spans="2:17" ht="12.75" customHeight="1">
      <c r="B80" s="32"/>
      <c r="H80" s="32"/>
      <c r="P80" s="54"/>
      <c r="Q80" s="54"/>
    </row>
    <row r="81" spans="2:17" ht="12.75" customHeight="1">
      <c r="B81" s="32"/>
      <c r="H81" s="32"/>
      <c r="P81" s="54"/>
      <c r="Q81" s="54"/>
    </row>
    <row r="82" spans="2:17" ht="12.75" customHeight="1">
      <c r="B82" s="32"/>
      <c r="H82" s="32"/>
      <c r="P82" s="54"/>
      <c r="Q82" s="54"/>
    </row>
    <row r="83" spans="2:17" ht="12.75" customHeight="1">
      <c r="B83" s="32"/>
      <c r="H83" s="32"/>
      <c r="P83" s="54"/>
      <c r="Q83" s="54"/>
    </row>
    <row r="84" spans="2:17" ht="12.75" customHeight="1">
      <c r="B84" s="32"/>
      <c r="H84" s="32"/>
      <c r="P84" s="54"/>
      <c r="Q84" s="54"/>
    </row>
    <row r="85" spans="2:17" ht="12.75" customHeight="1">
      <c r="B85" s="32"/>
      <c r="H85" s="32"/>
      <c r="P85" s="54"/>
      <c r="Q85" s="54"/>
    </row>
    <row r="86" spans="2:17" ht="12.75" customHeight="1">
      <c r="B86" s="32"/>
      <c r="H86" s="32"/>
      <c r="P86" s="54"/>
      <c r="Q86" s="54"/>
    </row>
    <row r="87" spans="2:17" ht="12.75" customHeight="1">
      <c r="B87" s="32"/>
      <c r="H87" s="32"/>
      <c r="P87" s="54"/>
      <c r="Q87" s="54"/>
    </row>
    <row r="88" spans="2:17" ht="12.75" customHeight="1">
      <c r="B88" s="32"/>
      <c r="H88" s="32"/>
      <c r="P88" s="54"/>
      <c r="Q88" s="54"/>
    </row>
    <row r="89" spans="2:17" ht="12.75" customHeight="1">
      <c r="B89" s="32"/>
      <c r="H89" s="32"/>
      <c r="P89" s="32"/>
      <c r="Q89" s="32"/>
    </row>
    <row r="90" spans="2:17" ht="12.75" customHeight="1">
      <c r="B90" s="32"/>
      <c r="H90" s="32"/>
      <c r="P90" s="54"/>
      <c r="Q90" s="54"/>
    </row>
    <row r="91" spans="2:17" ht="12.75" customHeight="1">
      <c r="B91" s="32"/>
      <c r="H91" s="32"/>
      <c r="P91" s="54"/>
      <c r="Q91" s="54"/>
    </row>
    <row r="92" spans="2:17" ht="12.75" customHeight="1">
      <c r="B92" s="32"/>
      <c r="H92" s="32"/>
      <c r="P92" s="54"/>
      <c r="Q92" s="54"/>
    </row>
    <row r="93" spans="2:17" ht="12.75" customHeight="1">
      <c r="B93" s="32"/>
      <c r="H93" s="32"/>
      <c r="P93" s="54"/>
      <c r="Q93" s="54"/>
    </row>
    <row r="94" spans="2:17" ht="12.75" customHeight="1">
      <c r="B94" s="32"/>
      <c r="H94" s="32"/>
      <c r="P94" s="54"/>
      <c r="Q94" s="54"/>
    </row>
    <row r="95" spans="2:17" ht="12.75" customHeight="1">
      <c r="B95" s="32"/>
      <c r="H95" s="32"/>
      <c r="P95" s="54"/>
      <c r="Q95" s="54"/>
    </row>
    <row r="96" spans="2:17" ht="12.75" customHeight="1">
      <c r="B96" s="32"/>
      <c r="H96" s="32"/>
      <c r="P96" s="54"/>
      <c r="Q96" s="54"/>
    </row>
    <row r="97" spans="2:17" ht="12.75" customHeight="1">
      <c r="B97" s="32"/>
      <c r="H97" s="32"/>
      <c r="P97" s="54"/>
      <c r="Q97" s="54"/>
    </row>
    <row r="98" spans="2:17" ht="12.75" customHeight="1">
      <c r="B98" s="32"/>
      <c r="H98" s="32"/>
      <c r="P98" s="32"/>
      <c r="Q98" s="32"/>
    </row>
    <row r="99" spans="2:17" ht="12.75" customHeight="1">
      <c r="B99" s="32"/>
      <c r="H99" s="32"/>
      <c r="P99" s="54"/>
      <c r="Q99" s="54"/>
    </row>
    <row r="100" spans="2:17" ht="12.75" customHeight="1">
      <c r="B100" s="32"/>
      <c r="H100" s="32"/>
      <c r="P100" s="54"/>
      <c r="Q100" s="54"/>
    </row>
    <row r="101" spans="2:17" ht="12.75" customHeight="1">
      <c r="B101" s="32"/>
      <c r="H101" s="32"/>
      <c r="P101" s="54"/>
      <c r="Q101" s="54"/>
    </row>
    <row r="102" spans="2:17" ht="12.75" customHeight="1">
      <c r="B102" s="32"/>
      <c r="H102" s="32"/>
      <c r="P102" s="54"/>
      <c r="Q102" s="54"/>
    </row>
    <row r="103" spans="2:17" ht="12.75" customHeight="1">
      <c r="B103" s="32"/>
      <c r="H103" s="32"/>
      <c r="P103" s="54"/>
      <c r="Q103" s="54"/>
    </row>
    <row r="104" spans="2:17" ht="12.75" customHeight="1"/>
    <row r="105" spans="2:17" ht="12.75" customHeight="1"/>
    <row r="106" spans="2:17" ht="12.75" customHeight="1"/>
    <row r="107" spans="2:17" ht="12.75" customHeight="1"/>
    <row r="108" spans="2:17" ht="12.75" customHeight="1"/>
    <row r="109" spans="2:17" ht="12.75" customHeight="1"/>
    <row r="110" spans="2:17" ht="12.75" customHeight="1"/>
    <row r="111" spans="2:17" ht="12.75" customHeight="1"/>
    <row r="112" spans="2:17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</sheetData>
  <phoneticPr fontId="5" type="noConversion"/>
  <pageMargins left="1.8" right="0.65" top="0.61" bottom="0.51" header="0.61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84 - Trend in FT Faculty</vt:lpstr>
      <vt:lpstr>'Table 84 - Trend in FT Faculty'!Print_Area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Jeffrey Smith</cp:lastModifiedBy>
  <cp:lastPrinted>2008-05-29T22:00:38Z</cp:lastPrinted>
  <dcterms:created xsi:type="dcterms:W3CDTF">2003-06-19T21:43:19Z</dcterms:created>
  <dcterms:modified xsi:type="dcterms:W3CDTF">2010-03-10T22:05:01Z</dcterms:modified>
</cp:coreProperties>
</file>