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95" yWindow="615" windowWidth="9420" windowHeight="9090"/>
  </bookViews>
  <sheets>
    <sheet name="Table 47 - Trend in FTFT Freshm" sheetId="1" r:id="rId1"/>
    <sheet name="Pivot" sheetId="3" state="hidden" r:id="rId2"/>
    <sheet name="data" sheetId="2" state="hidden" r:id="rId3"/>
  </sheets>
  <definedNames>
    <definedName name="_xlnm.Print_Area" localSheetId="0">'Table 47 - Trend in FTFT Freshm'!$A$1:$AE$105</definedName>
  </definedNames>
  <calcPr calcId="125725"/>
  <pivotCaches>
    <pivotCache cacheId="42" r:id="rId4"/>
  </pivotCaches>
</workbook>
</file>

<file path=xl/calcChain.xml><?xml version="1.0" encoding="utf-8"?>
<calcChain xmlns="http://schemas.openxmlformats.org/spreadsheetml/2006/main">
  <c r="Z96" i="1"/>
  <c r="AA96"/>
  <c r="AB96"/>
  <c r="AC96"/>
  <c r="AD96"/>
  <c r="AD98" s="1"/>
  <c r="Z97"/>
  <c r="AA97"/>
  <c r="AB97"/>
  <c r="AC97"/>
  <c r="AD97"/>
  <c r="Y97"/>
  <c r="B97"/>
  <c r="Y96"/>
  <c r="B96"/>
  <c r="A97"/>
  <c r="A96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Z68"/>
  <c r="Z92" s="1"/>
  <c r="AA68"/>
  <c r="AA92" s="1"/>
  <c r="AB68"/>
  <c r="AB92" s="1"/>
  <c r="AC68"/>
  <c r="AC92" s="1"/>
  <c r="AD68"/>
  <c r="AD92" s="1"/>
  <c r="AD100" s="1"/>
  <c r="Z69"/>
  <c r="AA69"/>
  <c r="AB69"/>
  <c r="AC69"/>
  <c r="AD69"/>
  <c r="Z70"/>
  <c r="AA70"/>
  <c r="AB70"/>
  <c r="AC70"/>
  <c r="AD70"/>
  <c r="Z71"/>
  <c r="AA71"/>
  <c r="AB71"/>
  <c r="AC71"/>
  <c r="AD71"/>
  <c r="Z72"/>
  <c r="AA72"/>
  <c r="AB72"/>
  <c r="AC72"/>
  <c r="AD72"/>
  <c r="Z73"/>
  <c r="AA73"/>
  <c r="AB73"/>
  <c r="AC73"/>
  <c r="AD73"/>
  <c r="Z74"/>
  <c r="AA74"/>
  <c r="AB74"/>
  <c r="AC74"/>
  <c r="AD74"/>
  <c r="Z75"/>
  <c r="AA75"/>
  <c r="AB75"/>
  <c r="AC75"/>
  <c r="AD75"/>
  <c r="Z76"/>
  <c r="AA76"/>
  <c r="AB76"/>
  <c r="AC76"/>
  <c r="AD76"/>
  <c r="Z77"/>
  <c r="AA77"/>
  <c r="AB77"/>
  <c r="AC77"/>
  <c r="AD77"/>
  <c r="Z78"/>
  <c r="AA78"/>
  <c r="AB78"/>
  <c r="AC78"/>
  <c r="AD78"/>
  <c r="Z79"/>
  <c r="AA79"/>
  <c r="AB79"/>
  <c r="AC79"/>
  <c r="AD79"/>
  <c r="Z80"/>
  <c r="AA80"/>
  <c r="AB80"/>
  <c r="AC80"/>
  <c r="AD80"/>
  <c r="Z81"/>
  <c r="AA81"/>
  <c r="AB81"/>
  <c r="AC81"/>
  <c r="AD81"/>
  <c r="Z82"/>
  <c r="AA82"/>
  <c r="AB82"/>
  <c r="AC82"/>
  <c r="AD82"/>
  <c r="Z83"/>
  <c r="AA83"/>
  <c r="AB83"/>
  <c r="AC83"/>
  <c r="AD83"/>
  <c r="Z84"/>
  <c r="AA84"/>
  <c r="AB84"/>
  <c r="AC84"/>
  <c r="AD84"/>
  <c r="Z85"/>
  <c r="AA85"/>
  <c r="AB85"/>
  <c r="AC85"/>
  <c r="AD85"/>
  <c r="Z86"/>
  <c r="AA86"/>
  <c r="AB86"/>
  <c r="AC86"/>
  <c r="AD86"/>
  <c r="Z87"/>
  <c r="AA87"/>
  <c r="AB87"/>
  <c r="AC87"/>
  <c r="AD87"/>
  <c r="Z88"/>
  <c r="AA88"/>
  <c r="AB88"/>
  <c r="AC88"/>
  <c r="AD88"/>
  <c r="Z89"/>
  <c r="AA89"/>
  <c r="AB89"/>
  <c r="AC89"/>
  <c r="AD89"/>
  <c r="Z90"/>
  <c r="AA90"/>
  <c r="AB90"/>
  <c r="AC90"/>
  <c r="AD90"/>
  <c r="Z91"/>
  <c r="AA91"/>
  <c r="AB91"/>
  <c r="AC91"/>
  <c r="AD91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Y68"/>
  <c r="Y92" s="1"/>
  <c r="B68"/>
  <c r="B92" s="1"/>
  <c r="A91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68"/>
  <c r="Z64"/>
  <c r="AA64"/>
  <c r="AB64"/>
  <c r="AC64"/>
  <c r="AD64"/>
  <c r="Y64"/>
  <c r="B64"/>
  <c r="Z29"/>
  <c r="AA29"/>
  <c r="AB29"/>
  <c r="AC29"/>
  <c r="AD29"/>
  <c r="Z30"/>
  <c r="AA30"/>
  <c r="AB30"/>
  <c r="AC30"/>
  <c r="AD30"/>
  <c r="Z31"/>
  <c r="AA31"/>
  <c r="AB31"/>
  <c r="AC31"/>
  <c r="AD31"/>
  <c r="Z32"/>
  <c r="AA32"/>
  <c r="AB32"/>
  <c r="AC32"/>
  <c r="AD32"/>
  <c r="Z33"/>
  <c r="AA33"/>
  <c r="AB33"/>
  <c r="AC33"/>
  <c r="AD33"/>
  <c r="Z34"/>
  <c r="AA34"/>
  <c r="AB34"/>
  <c r="AC34"/>
  <c r="AD34"/>
  <c r="Z35"/>
  <c r="AA35"/>
  <c r="AB35"/>
  <c r="AC35"/>
  <c r="AD35"/>
  <c r="Z36"/>
  <c r="AA36"/>
  <c r="AB36"/>
  <c r="AC36"/>
  <c r="AD36"/>
  <c r="Z37"/>
  <c r="AA37"/>
  <c r="AB37"/>
  <c r="AC37"/>
  <c r="AD37"/>
  <c r="Z38"/>
  <c r="AA38"/>
  <c r="AB38"/>
  <c r="AC38"/>
  <c r="AD38"/>
  <c r="Z39"/>
  <c r="AA39"/>
  <c r="AB39"/>
  <c r="AC39"/>
  <c r="AD39"/>
  <c r="Z40"/>
  <c r="AA40"/>
  <c r="AB40"/>
  <c r="AC40"/>
  <c r="AD40"/>
  <c r="Z41"/>
  <c r="AA41"/>
  <c r="AB41"/>
  <c r="AC41"/>
  <c r="AD41"/>
  <c r="Z42"/>
  <c r="AA42"/>
  <c r="AB42"/>
  <c r="AC42"/>
  <c r="AD42"/>
  <c r="Z43"/>
  <c r="AA43"/>
  <c r="AB43"/>
  <c r="AC43"/>
  <c r="AD43"/>
  <c r="Z44"/>
  <c r="AA44"/>
  <c r="AB44"/>
  <c r="AC44"/>
  <c r="AD44"/>
  <c r="Z45"/>
  <c r="AA45"/>
  <c r="AB45"/>
  <c r="AC45"/>
  <c r="AD45"/>
  <c r="Z46"/>
  <c r="AA46"/>
  <c r="AB46"/>
  <c r="AC46"/>
  <c r="AD46"/>
  <c r="Z47"/>
  <c r="AA47"/>
  <c r="AB47"/>
  <c r="AC47"/>
  <c r="AD47"/>
  <c r="Z48"/>
  <c r="AA48"/>
  <c r="AB48"/>
  <c r="AC48"/>
  <c r="AD48"/>
  <c r="Z49"/>
  <c r="AA49"/>
  <c r="AB49"/>
  <c r="AC49"/>
  <c r="AD4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Y29"/>
  <c r="B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29"/>
  <c r="Z12"/>
  <c r="AA12"/>
  <c r="AB12"/>
  <c r="AC12"/>
  <c r="AD12"/>
  <c r="Z13"/>
  <c r="AA13"/>
  <c r="AB13"/>
  <c r="AC13"/>
  <c r="AD13"/>
  <c r="Z14"/>
  <c r="AA14"/>
  <c r="AB14"/>
  <c r="AC14"/>
  <c r="AD14"/>
  <c r="Z15"/>
  <c r="AA15"/>
  <c r="AB15"/>
  <c r="AC15"/>
  <c r="AD15"/>
  <c r="Z16"/>
  <c r="AA16"/>
  <c r="AB16"/>
  <c r="AC16"/>
  <c r="AD16"/>
  <c r="Z17"/>
  <c r="AA17"/>
  <c r="AB17"/>
  <c r="AC17"/>
  <c r="AD17"/>
  <c r="Z18"/>
  <c r="AA18"/>
  <c r="AB18"/>
  <c r="AC18"/>
  <c r="AD18"/>
  <c r="Z19"/>
  <c r="AA19"/>
  <c r="AB19"/>
  <c r="AC19"/>
  <c r="AD19"/>
  <c r="Z20"/>
  <c r="AA20"/>
  <c r="AB20"/>
  <c r="AC20"/>
  <c r="AD20"/>
  <c r="Z21"/>
  <c r="AA21"/>
  <c r="AB21"/>
  <c r="AC21"/>
  <c r="AD21"/>
  <c r="Z22"/>
  <c r="AA22"/>
  <c r="AB22"/>
  <c r="AC22"/>
  <c r="AD22"/>
  <c r="Z23"/>
  <c r="AA23"/>
  <c r="AB23"/>
  <c r="AC23"/>
  <c r="AD23"/>
  <c r="Z24"/>
  <c r="AA24"/>
  <c r="AB24"/>
  <c r="AC24"/>
  <c r="AD24"/>
  <c r="Y13"/>
  <c r="Y14"/>
  <c r="Y15"/>
  <c r="Y16"/>
  <c r="Y17"/>
  <c r="Y18"/>
  <c r="Y19"/>
  <c r="Y20"/>
  <c r="Y21"/>
  <c r="Y22"/>
  <c r="Y23"/>
  <c r="Y24"/>
  <c r="B13"/>
  <c r="B14"/>
  <c r="B15"/>
  <c r="B16"/>
  <c r="B17"/>
  <c r="B18"/>
  <c r="B19"/>
  <c r="B20"/>
  <c r="B21"/>
  <c r="B22"/>
  <c r="B23"/>
  <c r="B24"/>
  <c r="Y12"/>
  <c r="B12"/>
  <c r="A13"/>
  <c r="A14"/>
  <c r="A15"/>
  <c r="A16"/>
  <c r="A17"/>
  <c r="A18"/>
  <c r="A19"/>
  <c r="A20"/>
  <c r="A21"/>
  <c r="A22"/>
  <c r="A23"/>
  <c r="A24"/>
  <c r="A12"/>
  <c r="Z8"/>
  <c r="AA8"/>
  <c r="AB8"/>
  <c r="AC8"/>
  <c r="AD8"/>
  <c r="Y8"/>
  <c r="B8"/>
  <c r="AD50"/>
  <c r="AC98"/>
  <c r="AC50"/>
  <c r="AC25"/>
  <c r="AB25"/>
  <c r="AB50"/>
  <c r="AB98"/>
  <c r="AA50"/>
  <c r="AA25"/>
  <c r="AA98"/>
  <c r="Z98"/>
  <c r="Y98"/>
  <c r="X46"/>
  <c r="X45"/>
  <c r="X44"/>
  <c r="X40"/>
  <c r="X39"/>
  <c r="X48"/>
  <c r="X13"/>
  <c r="X31"/>
  <c r="X29"/>
  <c r="X37"/>
  <c r="X20"/>
  <c r="X43"/>
  <c r="X15"/>
  <c r="X49"/>
  <c r="X42"/>
  <c r="X18"/>
  <c r="X41"/>
  <c r="X36"/>
  <c r="X35"/>
  <c r="X38"/>
  <c r="X33"/>
  <c r="X30"/>
  <c r="X17"/>
  <c r="X24"/>
  <c r="X16"/>
  <c r="X23"/>
  <c r="X22"/>
  <c r="X14"/>
  <c r="X19"/>
  <c r="X98"/>
  <c r="X21"/>
  <c r="W29"/>
  <c r="W30"/>
  <c r="W14"/>
  <c r="W43"/>
  <c r="W48"/>
  <c r="W32"/>
  <c r="W21"/>
  <c r="W42"/>
  <c r="W19"/>
  <c r="W22"/>
  <c r="W23"/>
  <c r="W24"/>
  <c r="W16"/>
  <c r="W49"/>
  <c r="W18"/>
  <c r="W36"/>
  <c r="W37"/>
  <c r="W20"/>
  <c r="W15"/>
  <c r="W41"/>
  <c r="W40"/>
  <c r="W38"/>
  <c r="W31"/>
  <c r="W45"/>
  <c r="W46"/>
  <c r="W44"/>
  <c r="W39"/>
  <c r="W13"/>
  <c r="W17"/>
  <c r="W98"/>
  <c r="O21"/>
  <c r="P21"/>
  <c r="Q21"/>
  <c r="R21"/>
  <c r="S21"/>
  <c r="T21"/>
  <c r="U21"/>
  <c r="V21"/>
  <c r="O12"/>
  <c r="P12"/>
  <c r="R12"/>
  <c r="S12"/>
  <c r="O13"/>
  <c r="P13"/>
  <c r="Q13"/>
  <c r="R13"/>
  <c r="S13"/>
  <c r="T13"/>
  <c r="U13"/>
  <c r="V13"/>
  <c r="O14"/>
  <c r="P14"/>
  <c r="Q14"/>
  <c r="R14"/>
  <c r="S14"/>
  <c r="T14"/>
  <c r="U14"/>
  <c r="V14"/>
  <c r="O17"/>
  <c r="P17"/>
  <c r="Q17"/>
  <c r="R17"/>
  <c r="S17"/>
  <c r="T17"/>
  <c r="U17"/>
  <c r="V17"/>
  <c r="O18"/>
  <c r="P18"/>
  <c r="Q18"/>
  <c r="R18"/>
  <c r="S18"/>
  <c r="T18"/>
  <c r="U18"/>
  <c r="V18"/>
  <c r="O19"/>
  <c r="P19"/>
  <c r="Q19"/>
  <c r="R19"/>
  <c r="S19"/>
  <c r="T19"/>
  <c r="U19"/>
  <c r="V19"/>
  <c r="O15"/>
  <c r="P15"/>
  <c r="Q15"/>
  <c r="R15"/>
  <c r="S15"/>
  <c r="T15"/>
  <c r="U15"/>
  <c r="V15"/>
  <c r="O20"/>
  <c r="P20"/>
  <c r="Q20"/>
  <c r="R20"/>
  <c r="S20"/>
  <c r="T20"/>
  <c r="U20"/>
  <c r="V20"/>
  <c r="O22"/>
  <c r="P22"/>
  <c r="Q22"/>
  <c r="R22"/>
  <c r="S22"/>
  <c r="T22"/>
  <c r="U22"/>
  <c r="V22"/>
  <c r="O23"/>
  <c r="P23"/>
  <c r="Q23"/>
  <c r="R23"/>
  <c r="S23"/>
  <c r="T23"/>
  <c r="U23"/>
  <c r="V23"/>
  <c r="O16"/>
  <c r="P16"/>
  <c r="R16"/>
  <c r="S16"/>
  <c r="T16"/>
  <c r="U16"/>
  <c r="V16"/>
  <c r="O24"/>
  <c r="P24"/>
  <c r="R24"/>
  <c r="S24"/>
  <c r="T24"/>
  <c r="U24"/>
  <c r="V24"/>
  <c r="B25"/>
  <c r="C25"/>
  <c r="D25"/>
  <c r="E25"/>
  <c r="F25"/>
  <c r="G25"/>
  <c r="G52" s="1"/>
  <c r="H25"/>
  <c r="I25"/>
  <c r="J25"/>
  <c r="K25"/>
  <c r="L25"/>
  <c r="M25"/>
  <c r="N25"/>
  <c r="O29"/>
  <c r="P29"/>
  <c r="Q29"/>
  <c r="R29"/>
  <c r="S29"/>
  <c r="T29"/>
  <c r="U29"/>
  <c r="V30"/>
  <c r="O31"/>
  <c r="P31"/>
  <c r="S31"/>
  <c r="T31"/>
  <c r="U31"/>
  <c r="V31"/>
  <c r="R32"/>
  <c r="S32"/>
  <c r="T32"/>
  <c r="U32"/>
  <c r="T35"/>
  <c r="U35"/>
  <c r="P36"/>
  <c r="U36"/>
  <c r="V36"/>
  <c r="O37"/>
  <c r="P37"/>
  <c r="R37"/>
  <c r="S37"/>
  <c r="U37"/>
  <c r="V37"/>
  <c r="O38"/>
  <c r="Q38"/>
  <c r="S38"/>
  <c r="U38"/>
  <c r="V38"/>
  <c r="O39"/>
  <c r="P39"/>
  <c r="Q39"/>
  <c r="R39"/>
  <c r="T39"/>
  <c r="U39"/>
  <c r="V39"/>
  <c r="O41"/>
  <c r="R41"/>
  <c r="S41"/>
  <c r="U41"/>
  <c r="V41"/>
  <c r="R42"/>
  <c r="S42"/>
  <c r="V42"/>
  <c r="O48"/>
  <c r="P48"/>
  <c r="R48"/>
  <c r="S48"/>
  <c r="T48"/>
  <c r="U48"/>
  <c r="V48"/>
  <c r="O44"/>
  <c r="P44"/>
  <c r="Q44"/>
  <c r="R44"/>
  <c r="S44"/>
  <c r="T44"/>
  <c r="U44"/>
  <c r="V44"/>
  <c r="O45"/>
  <c r="P45"/>
  <c r="Q45"/>
  <c r="R45"/>
  <c r="S45"/>
  <c r="T45"/>
  <c r="U45"/>
  <c r="V45"/>
  <c r="O46"/>
  <c r="P46"/>
  <c r="Q46"/>
  <c r="R46"/>
  <c r="S46"/>
  <c r="T46"/>
  <c r="U46"/>
  <c r="V46"/>
  <c r="O40"/>
  <c r="P40"/>
  <c r="Q40"/>
  <c r="R40"/>
  <c r="T40"/>
  <c r="U40"/>
  <c r="V40"/>
  <c r="O49"/>
  <c r="R49"/>
  <c r="U49"/>
  <c r="V49"/>
  <c r="B50"/>
  <c r="B52" s="1"/>
  <c r="C50"/>
  <c r="D50"/>
  <c r="D52" s="1"/>
  <c r="E50"/>
  <c r="F50"/>
  <c r="F52" s="1"/>
  <c r="G50"/>
  <c r="H50"/>
  <c r="H52" s="1"/>
  <c r="I50"/>
  <c r="J50"/>
  <c r="J52" s="1"/>
  <c r="K50"/>
  <c r="L50"/>
  <c r="L52" s="1"/>
  <c r="M50"/>
  <c r="M52" s="1"/>
  <c r="N50"/>
  <c r="N52" s="1"/>
  <c r="Q50"/>
  <c r="B98"/>
  <c r="C98"/>
  <c r="C100" s="1"/>
  <c r="D98"/>
  <c r="E98"/>
  <c r="E100" s="1"/>
  <c r="F98"/>
  <c r="G98"/>
  <c r="G100" s="1"/>
  <c r="H98"/>
  <c r="I98"/>
  <c r="I100" s="1"/>
  <c r="J98"/>
  <c r="K98"/>
  <c r="L98"/>
  <c r="M98"/>
  <c r="N98"/>
  <c r="O98"/>
  <c r="O100" s="1"/>
  <c r="P98"/>
  <c r="Q98"/>
  <c r="Q100" s="1"/>
  <c r="R98"/>
  <c r="S98"/>
  <c r="S100" s="1"/>
  <c r="T98"/>
  <c r="U98"/>
  <c r="U100" s="1"/>
  <c r="V98"/>
  <c r="M100"/>
  <c r="AD25" l="1"/>
  <c r="AA100"/>
  <c r="AB52"/>
  <c r="Y100"/>
  <c r="K52"/>
  <c r="C52"/>
  <c r="S50"/>
  <c r="I52"/>
  <c r="E52"/>
  <c r="E102" s="1"/>
  <c r="V100"/>
  <c r="T100"/>
  <c r="R100"/>
  <c r="P100"/>
  <c r="N100"/>
  <c r="N102" s="1"/>
  <c r="L100"/>
  <c r="L102" s="1"/>
  <c r="J100"/>
  <c r="H100"/>
  <c r="F100"/>
  <c r="F102" s="1"/>
  <c r="D100"/>
  <c r="B100"/>
  <c r="B102" s="1"/>
  <c r="U25"/>
  <c r="S25"/>
  <c r="P25"/>
  <c r="X100"/>
  <c r="Z100"/>
  <c r="AD52"/>
  <c r="AD102" s="1"/>
  <c r="V25"/>
  <c r="T25"/>
  <c r="R25"/>
  <c r="O25"/>
  <c r="X25"/>
  <c r="X50"/>
  <c r="AC52"/>
  <c r="AC100"/>
  <c r="Z50"/>
  <c r="M102"/>
  <c r="O50"/>
  <c r="Z25"/>
  <c r="K100"/>
  <c r="K102" s="1"/>
  <c r="Q25"/>
  <c r="Q52" s="1"/>
  <c r="Q102" s="1"/>
  <c r="Y50"/>
  <c r="U50"/>
  <c r="W100"/>
  <c r="AA52"/>
  <c r="AA102" s="1"/>
  <c r="AB100"/>
  <c r="AB102" s="1"/>
  <c r="V50"/>
  <c r="T50"/>
  <c r="T52" s="1"/>
  <c r="T102" s="1"/>
  <c r="R50"/>
  <c r="P50"/>
  <c r="J102"/>
  <c r="D102"/>
  <c r="C102"/>
  <c r="H102"/>
  <c r="I102"/>
  <c r="G102"/>
  <c r="P52"/>
  <c r="P102" s="1"/>
  <c r="W25"/>
  <c r="W50"/>
  <c r="Y25"/>
  <c r="Y52" s="1"/>
  <c r="Y102" s="1"/>
  <c r="O52" l="1"/>
  <c r="O102" s="1"/>
  <c r="R52"/>
  <c r="R102" s="1"/>
  <c r="V52"/>
  <c r="V102" s="1"/>
  <c r="U52"/>
  <c r="U102" s="1"/>
  <c r="X52"/>
  <c r="X102" s="1"/>
  <c r="S52"/>
  <c r="S102" s="1"/>
  <c r="Z52"/>
  <c r="Z102" s="1"/>
  <c r="AC102"/>
  <c r="W52"/>
  <c r="W102" s="1"/>
</calcChain>
</file>

<file path=xl/sharedStrings.xml><?xml version="1.0" encoding="utf-8"?>
<sst xmlns="http://schemas.openxmlformats.org/spreadsheetml/2006/main" count="1906" uniqueCount="115">
  <si>
    <t>FALL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</si>
  <si>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</si>
  <si>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</si>
  <si>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</si>
  <si>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</si>
  <si>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</si>
  <si>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</si>
  <si>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</si>
  <si>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</si>
  <si>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</si>
  <si>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</si>
  <si>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</si>
  <si>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</si>
  <si>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</si>
  <si>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</si>
  <si>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</si>
  <si>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</si>
  <si>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</si>
  <si>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</si>
  <si>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</si>
  <si>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</si>
  <si>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</si>
  <si>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 xml:space="preserve">  Subtotal</t>
  </si>
  <si>
    <t>PUBLIC CERTIFICATE AND ASSOCIATE DEGREE-GRANTING INSTITUTIONS</t>
  </si>
  <si>
    <t>N/A</t>
  </si>
  <si>
    <t>--</t>
  </si>
  <si>
    <t>PUBLIC INSTITUTION TOTAL</t>
  </si>
  <si>
    <t>N/A indicates that data are not available.</t>
  </si>
  <si>
    <t>-- indicates that the institution was not or is no longer open.</t>
  </si>
  <si>
    <t>SOURCE:  DHE02, Supplement to IPEDS EF</t>
  </si>
  <si>
    <t>PRIVATE NOT-FOR-PROFIT (INDEPENDENT) BACCALAUREATE AND HIGHER DEGREE-GRANTING INSTITUTIONS</t>
  </si>
  <si>
    <t xml:space="preserve"> </t>
  </si>
  <si>
    <t>PRIVATE NOT-FOR-PROFIT (INDEPENDENT) CERTIFICATE AND ASSOCIATE DEGREE-GRANTING INSTITUTIONS</t>
  </si>
  <si>
    <t>PRIVATE NOT-FOR-PROFIT (INDEPENDENT) TOTAL</t>
  </si>
  <si>
    <t>STATE TOTAL</t>
  </si>
  <si>
    <t>-- indicates that the institution is no longer open.</t>
  </si>
  <si>
    <t>TABLE 48</t>
  </si>
  <si>
    <t>TABLE 47</t>
  </si>
  <si>
    <t>SOURCE:  DHE02, Supplement to IPEDS EF and Enhanced Missouri Student Achievement Study</t>
  </si>
  <si>
    <t xml:space="preserve">HISTORICAL TREND IN FIRST-TIME, FULL-TIME </t>
  </si>
  <si>
    <t>DEGREE-SEEKING UNDERGRADUATE HEADCOUNT AT</t>
  </si>
  <si>
    <t>CALYEAR</t>
  </si>
  <si>
    <t>sectorshrt</t>
  </si>
  <si>
    <t>Institution</t>
  </si>
  <si>
    <t>TOT_HEADS</t>
  </si>
  <si>
    <t>2Y</t>
  </si>
  <si>
    <t>Crowder College</t>
  </si>
  <si>
    <t>East Central College</t>
  </si>
  <si>
    <t>Jefferson College</t>
  </si>
  <si>
    <t>Linn State Technical College</t>
  </si>
  <si>
    <t>Metro. CC-Blue River</t>
  </si>
  <si>
    <t>Metro. CC-Business &amp; Technology</t>
  </si>
  <si>
    <t>Metro. CC-Longview</t>
  </si>
  <si>
    <t>Metro. CC-Maple Woods</t>
  </si>
  <si>
    <t>Metro. CC-Penn Valley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</si>
  <si>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</si>
  <si>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</si>
  <si>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</si>
  <si>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</si>
  <si>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</si>
  <si>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</si>
  <si>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CC-Florissant Valley</t>
  </si>
  <si>
    <t>St. Louis CC-ForeSt Park</t>
  </si>
  <si>
    <t>St. Louis CC-Meramec</t>
  </si>
  <si>
    <t>St. Louis CC-Wildwood</t>
  </si>
  <si>
    <t>State Fair Community College</t>
  </si>
  <si>
    <t>Three Rivers Community College</t>
  </si>
  <si>
    <t>4Y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</si>
  <si>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</si>
  <si>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</si>
  <si>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</si>
  <si>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</si>
  <si>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</si>
  <si>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</si>
  <si>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</si>
  <si>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</si>
  <si>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</si>
  <si>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</si>
  <si>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</si>
  <si>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</si>
  <si>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</si>
  <si>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I2</t>
  </si>
  <si>
    <t>Cottey College</t>
  </si>
  <si>
    <t>Wentworth Military Academy</t>
  </si>
  <si>
    <t>I4</t>
  </si>
  <si>
    <t>Avila University</t>
  </si>
  <si>
    <t>Central Methodist University-CLAS</t>
  </si>
  <si>
    <t>Central Methodist University-GRES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</si>
  <si>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</si>
  <si>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</si>
  <si>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</si>
  <si>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</si>
  <si>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</si>
  <si>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</si>
  <si>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</si>
  <si>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</si>
  <si>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</si>
  <si>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</si>
  <si>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</si>
  <si>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</si>
  <si>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</si>
  <si>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</si>
  <si>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</si>
  <si>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</si>
  <si>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</si>
  <si>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</si>
  <si>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</si>
  <si>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</si>
  <si>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</si>
  <si>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Column Labels</t>
  </si>
  <si>
    <t>Grand Total</t>
  </si>
  <si>
    <t>Row Labels</t>
  </si>
  <si>
    <t>Sum of TOT_HEADS</t>
  </si>
  <si>
    <t>PUBLIC INSTITUTIONS, FALL 2004-FALL 2010</t>
  </si>
  <si>
    <t>NOT-FOR-PROFIT (INDEPENDENT) INSTITUTIONS, FALL 2004-FALL 2010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</si>
</sst>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6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7"/>
      <name val="TMS"/>
    </font>
    <font>
      <sz val="10"/>
      <name val="TMS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 applyFont="1" applyAlignment="1"/>
    <xf numFmtId="3" fontId="1" fillId="0" borderId="0" xfId="0" applyNumberFormat="1" applyFont="1" applyFill="1" applyAlignment="1"/>
    <xf numFmtId="0" fontId="1" fillId="0" borderId="0" xfId="0" applyFont="1" applyFill="1" applyAlignment="1"/>
    <xf numFmtId="0" fontId="1" fillId="0" borderId="0" xfId="0" applyNumberFormat="1" applyFont="1" applyFill="1" applyAlignment="1"/>
    <xf numFmtId="0" fontId="2" fillId="0" borderId="0" xfId="0" applyFont="1" applyFill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2" fillId="0" borderId="2" xfId="0" applyFont="1" applyFill="1" applyBorder="1" applyAlignment="1"/>
    <xf numFmtId="0" fontId="1" fillId="0" borderId="3" xfId="0" applyFont="1" applyFill="1" applyBorder="1" applyAlignment="1"/>
    <xf numFmtId="3" fontId="1" fillId="0" borderId="4" xfId="0" applyNumberFormat="1" applyFont="1" applyFill="1" applyBorder="1" applyAlignment="1"/>
    <xf numFmtId="3" fontId="1" fillId="0" borderId="2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/>
    <xf numFmtId="0" fontId="2" fillId="0" borderId="8" xfId="0" applyFont="1" applyFill="1" applyBorder="1" applyAlignment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3" fillId="0" borderId="0" xfId="0" applyNumberFormat="1" applyFont="1" applyFill="1" applyAlignment="1">
      <alignment horizontal="left" wrapText="1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3" fontId="2" fillId="0" borderId="0" xfId="0" applyNumberFormat="1" applyFont="1" applyFill="1" applyAlignment="1"/>
    <xf numFmtId="3" fontId="1" fillId="0" borderId="5" xfId="0" applyNumberFormat="1" applyFont="1" applyFill="1" applyBorder="1" applyAlignment="1"/>
    <xf numFmtId="3" fontId="1" fillId="0" borderId="6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0" borderId="6" xfId="0" applyNumberFormat="1" applyFont="1" applyFill="1" applyBorder="1" applyAlignment="1"/>
    <xf numFmtId="0" fontId="1" fillId="0" borderId="6" xfId="0" applyNumberFormat="1" applyFont="1" applyFill="1" applyBorder="1" applyAlignment="1"/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/>
    <xf numFmtId="3" fontId="2" fillId="0" borderId="11" xfId="0" applyNumberFormat="1" applyFont="1" applyFill="1" applyBorder="1" applyAlignment="1"/>
    <xf numFmtId="3" fontId="2" fillId="0" borderId="12" xfId="0" applyNumberFormat="1" applyFont="1" applyFill="1" applyBorder="1" applyAlignment="1"/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1" fillId="0" borderId="8" xfId="0" applyNumberFormat="1" applyFont="1" applyFill="1" applyBorder="1" applyAlignment="1"/>
    <xf numFmtId="0" fontId="1" fillId="0" borderId="8" xfId="0" applyFont="1" applyFill="1" applyBorder="1"/>
    <xf numFmtId="0" fontId="1" fillId="0" borderId="10" xfId="0" applyFont="1" applyFill="1" applyBorder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 wrapText="1"/>
    </xf>
    <xf numFmtId="0" fontId="2" fillId="0" borderId="1" xfId="0" applyFont="1" applyFill="1" applyBorder="1" applyAlignment="1"/>
    <xf numFmtId="165" fontId="2" fillId="0" borderId="0" xfId="1" applyNumberFormat="1" applyFont="1" applyFill="1" applyAlignment="1"/>
    <xf numFmtId="0" fontId="5" fillId="0" borderId="0" xfId="0" applyFo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/>
    <xf numFmtId="3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chamber" refreshedDate="40773.685373726854" createdVersion="3" refreshedVersion="3" minRefreshableVersion="3" recordCount="817">
  <cacheSource type="worksheet">
    <worksheetSource ref="A1:D818" sheet="data"/>
  </cacheSource>
  <cacheFields count="4">
    <cacheField name="CALYEAR" numFmtId="0">
      <sharedItems containsSemiMixedTypes="0" containsString="0" containsNumber="1" containsInteger="1" minValue="1994" maxValue="2010" count="17">
        <n v="1994"/>
        <n v="199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1996"/>
        <n v="1997"/>
      </sharedItems>
    </cacheField>
    <cacheField name="sectorshrt" numFmtId="0">
      <sharedItems count="4">
        <s v="2Y"/>
        <s v="4Y"/>
        <s v="I2"/>
        <s v="I4"/>
      </sharedItems>
    </cacheField>
    <cacheField name="Institution" numFmtId="0">
      <sharedItems count="60">
        <s v="Crowder College"/>
        <s v="East Central College"/>
        <s v="Jefferson College"/>
        <s v="Linn State Technical College"/>
        <s v="Metro. CC-Blue River"/>
        <s v="Metro. CC-Business &amp; Technology"/>
        <s v="Metro. CC-Longview"/>
        <s v="Metro. CC-Maple Woods"/>
        <s v="Metro. CC-Penn Valley"/>
        <s v="Mineral Area College"/>
        <s v="Missouri State University-WeSt Plains"/>
        <s v="Moberly Area Community College"/>
        <s v="North Central Missouri College"/>
        <s v="Ozarks Technical Community College"/>
        <s v="St. Charles Community College"/>
        <s v="St. Louis CC-Florissant Valley"/>
        <s v="St. Louis CC-ForeSt Park"/>
        <s v="St. Louis CC-Meramec"/>
        <s v="St. Louis CC-Wildwood"/>
        <s v="State Fair Community College"/>
        <s v="Three Rivers Community College"/>
        <s v="Harris-Stowe State University"/>
        <s v="Lincoln University"/>
        <s v="Missouri Southern State University"/>
        <s v="Missouri State University"/>
        <s v="Missouri University of Science and Technology"/>
        <s v="Missouri Western State University"/>
        <s v="Northwest Missouri State University"/>
        <s v="Southeast Missouri State University"/>
        <s v="Truman State University"/>
        <s v="University of Central Missouri"/>
        <s v="University of Missouri-Columbia"/>
        <s v="University of Missouri-Kansas City"/>
        <s v="University of Missouri-St Louis"/>
        <s v="Cottey College"/>
        <s v="Wentworth Military Academy"/>
        <s v="Avila University"/>
        <s v="Central Methodist University-CLAS"/>
        <s v="Central Methodist University-GRES"/>
        <s v="College of the Ozarks"/>
        <s v="Columbia College"/>
        <s v="Culver-Stockton College"/>
        <s v="Drury University"/>
        <s v="Evangel University"/>
        <s v="Fontbonne University"/>
        <s v="Hannibal-Lagrange College"/>
        <s v="Lindenwood University"/>
        <s v="Maryville University"/>
        <s v="Missouri Baptist University"/>
        <s v="Missouri Valley College"/>
        <s v="Park University"/>
        <s v="Rockhurst University"/>
        <s v="Saint Louis University"/>
        <s v="Southwest Baptist University"/>
        <s v="Stephens College"/>
        <s v="Washington University"/>
        <s v="Webster University"/>
        <s v="Westminster College"/>
        <s v="William Jewell College"/>
        <s v="William Woods University"/>
      </sharedItems>
    </cacheField>
    <cacheField name="TOT_HEADS" numFmtId="0">
      <sharedItems containsString="0" containsBlank="1" containsNumber="1" containsInteger="1" minValue="21" maxValue="600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7">
  <r>
    <x v="0"/>
    <x v="0"/>
    <x v="0"/>
    <n v="392"/>
  </r>
  <r>
    <x v="1"/>
    <x v="0"/>
    <x v="0"/>
    <n v="444"/>
  </r>
  <r>
    <x v="2"/>
    <x v="0"/>
    <x v="0"/>
    <n v="460"/>
  </r>
  <r>
    <x v="3"/>
    <x v="0"/>
    <x v="0"/>
    <n v="551"/>
  </r>
  <r>
    <x v="4"/>
    <x v="0"/>
    <x v="0"/>
    <n v="543"/>
  </r>
  <r>
    <x v="5"/>
    <x v="0"/>
    <x v="0"/>
    <n v="624"/>
  </r>
  <r>
    <x v="6"/>
    <x v="0"/>
    <x v="0"/>
    <n v="426"/>
  </r>
  <r>
    <x v="7"/>
    <x v="0"/>
    <x v="0"/>
    <n v="600"/>
  </r>
  <r>
    <x v="8"/>
    <x v="0"/>
    <x v="0"/>
    <n v="598"/>
  </r>
  <r>
    <x v="9"/>
    <x v="0"/>
    <x v="0"/>
    <n v="555"/>
  </r>
  <r>
    <x v="10"/>
    <x v="0"/>
    <x v="0"/>
    <n v="598"/>
  </r>
  <r>
    <x v="11"/>
    <x v="0"/>
    <x v="0"/>
    <n v="711"/>
  </r>
  <r>
    <x v="12"/>
    <x v="0"/>
    <x v="0"/>
    <n v="698"/>
  </r>
  <r>
    <x v="13"/>
    <x v="0"/>
    <x v="0"/>
    <n v="1533"/>
  </r>
  <r>
    <x v="14"/>
    <x v="0"/>
    <x v="0"/>
    <n v="820"/>
  </r>
  <r>
    <x v="0"/>
    <x v="0"/>
    <x v="1"/>
    <n v="441"/>
  </r>
  <r>
    <x v="1"/>
    <x v="0"/>
    <x v="1"/>
    <n v="383"/>
  </r>
  <r>
    <x v="15"/>
    <x v="0"/>
    <x v="1"/>
    <n v="333"/>
  </r>
  <r>
    <x v="16"/>
    <x v="0"/>
    <x v="1"/>
    <n v="325"/>
  </r>
  <r>
    <x v="2"/>
    <x v="0"/>
    <x v="1"/>
    <n v="379"/>
  </r>
  <r>
    <x v="3"/>
    <x v="0"/>
    <x v="1"/>
    <n v="326"/>
  </r>
  <r>
    <x v="4"/>
    <x v="0"/>
    <x v="1"/>
    <n v="367"/>
  </r>
  <r>
    <x v="5"/>
    <x v="0"/>
    <x v="1"/>
    <n v="472"/>
  </r>
  <r>
    <x v="6"/>
    <x v="0"/>
    <x v="1"/>
    <n v="567"/>
  </r>
  <r>
    <x v="7"/>
    <x v="0"/>
    <x v="1"/>
    <n v="544"/>
  </r>
  <r>
    <x v="8"/>
    <x v="0"/>
    <x v="1"/>
    <n v="590"/>
  </r>
  <r>
    <x v="9"/>
    <x v="0"/>
    <x v="1"/>
    <n v="493"/>
  </r>
  <r>
    <x v="10"/>
    <x v="0"/>
    <x v="1"/>
    <n v="651"/>
  </r>
  <r>
    <x v="11"/>
    <x v="0"/>
    <x v="1"/>
    <n v="563"/>
  </r>
  <r>
    <x v="12"/>
    <x v="0"/>
    <x v="1"/>
    <n v="582"/>
  </r>
  <r>
    <x v="13"/>
    <x v="0"/>
    <x v="1"/>
    <n v="782"/>
  </r>
  <r>
    <x v="14"/>
    <x v="0"/>
    <x v="1"/>
    <n v="743"/>
  </r>
  <r>
    <x v="0"/>
    <x v="0"/>
    <x v="2"/>
    <n v="931"/>
  </r>
  <r>
    <x v="1"/>
    <x v="0"/>
    <x v="2"/>
    <n v="964"/>
  </r>
  <r>
    <x v="15"/>
    <x v="0"/>
    <x v="2"/>
    <n v="899"/>
  </r>
  <r>
    <x v="16"/>
    <x v="0"/>
    <x v="2"/>
    <n v="640"/>
  </r>
  <r>
    <x v="2"/>
    <x v="0"/>
    <x v="2"/>
    <n v="765"/>
  </r>
  <r>
    <x v="3"/>
    <x v="0"/>
    <x v="2"/>
    <n v="785"/>
  </r>
  <r>
    <x v="4"/>
    <x v="0"/>
    <x v="2"/>
    <n v="791"/>
  </r>
  <r>
    <x v="5"/>
    <x v="0"/>
    <x v="2"/>
    <n v="778"/>
  </r>
  <r>
    <x v="6"/>
    <x v="0"/>
    <x v="2"/>
    <n v="818"/>
  </r>
  <r>
    <x v="7"/>
    <x v="0"/>
    <x v="2"/>
    <n v="836"/>
  </r>
  <r>
    <x v="8"/>
    <x v="0"/>
    <x v="2"/>
    <n v="846"/>
  </r>
  <r>
    <x v="9"/>
    <x v="0"/>
    <x v="2"/>
    <n v="885"/>
  </r>
  <r>
    <x v="10"/>
    <x v="0"/>
    <x v="2"/>
    <n v="857"/>
  </r>
  <r>
    <x v="11"/>
    <x v="0"/>
    <x v="2"/>
    <n v="994"/>
  </r>
  <r>
    <x v="12"/>
    <x v="0"/>
    <x v="2"/>
    <n v="977"/>
  </r>
  <r>
    <x v="13"/>
    <x v="0"/>
    <x v="2"/>
    <n v="1155"/>
  </r>
  <r>
    <x v="14"/>
    <x v="0"/>
    <x v="2"/>
    <n v="1229"/>
  </r>
  <r>
    <x v="3"/>
    <x v="0"/>
    <x v="3"/>
    <n v="322"/>
  </r>
  <r>
    <x v="4"/>
    <x v="0"/>
    <x v="3"/>
    <n v="337"/>
  </r>
  <r>
    <x v="5"/>
    <x v="0"/>
    <x v="3"/>
    <n v="373"/>
  </r>
  <r>
    <x v="6"/>
    <x v="0"/>
    <x v="3"/>
    <n v="378"/>
  </r>
  <r>
    <x v="7"/>
    <x v="0"/>
    <x v="3"/>
    <n v="362"/>
  </r>
  <r>
    <x v="8"/>
    <x v="0"/>
    <x v="3"/>
    <n v="327"/>
  </r>
  <r>
    <x v="9"/>
    <x v="0"/>
    <x v="3"/>
    <n v="372"/>
  </r>
  <r>
    <x v="10"/>
    <x v="0"/>
    <x v="3"/>
    <n v="401"/>
  </r>
  <r>
    <x v="11"/>
    <x v="0"/>
    <x v="3"/>
    <n v="387"/>
  </r>
  <r>
    <x v="12"/>
    <x v="0"/>
    <x v="3"/>
    <n v="456"/>
  </r>
  <r>
    <x v="13"/>
    <x v="0"/>
    <x v="3"/>
    <n v="478"/>
  </r>
  <r>
    <x v="14"/>
    <x v="0"/>
    <x v="3"/>
    <n v="436"/>
  </r>
  <r>
    <x v="6"/>
    <x v="0"/>
    <x v="4"/>
    <n v="194"/>
  </r>
  <r>
    <x v="7"/>
    <x v="0"/>
    <x v="4"/>
    <n v="259"/>
  </r>
  <r>
    <x v="8"/>
    <x v="0"/>
    <x v="4"/>
    <n v="229"/>
  </r>
  <r>
    <x v="9"/>
    <x v="0"/>
    <x v="4"/>
    <n v="315"/>
  </r>
  <r>
    <x v="10"/>
    <x v="0"/>
    <x v="4"/>
    <n v="344"/>
  </r>
  <r>
    <x v="11"/>
    <x v="0"/>
    <x v="4"/>
    <n v="336"/>
  </r>
  <r>
    <x v="12"/>
    <x v="0"/>
    <x v="4"/>
    <n v="477"/>
  </r>
  <r>
    <x v="13"/>
    <x v="0"/>
    <x v="4"/>
    <n v="540"/>
  </r>
  <r>
    <x v="14"/>
    <x v="0"/>
    <x v="4"/>
    <n v="587"/>
  </r>
  <r>
    <x v="6"/>
    <x v="0"/>
    <x v="5"/>
    <n v="29"/>
  </r>
  <r>
    <x v="7"/>
    <x v="0"/>
    <x v="5"/>
    <n v="28"/>
  </r>
  <r>
    <x v="8"/>
    <x v="0"/>
    <x v="5"/>
    <n v="21"/>
  </r>
  <r>
    <x v="9"/>
    <x v="0"/>
    <x v="5"/>
    <n v="43"/>
  </r>
  <r>
    <x v="10"/>
    <x v="0"/>
    <x v="5"/>
    <n v="74"/>
  </r>
  <r>
    <x v="11"/>
    <x v="0"/>
    <x v="5"/>
    <n v="77"/>
  </r>
  <r>
    <x v="12"/>
    <x v="0"/>
    <x v="5"/>
    <n v="59"/>
  </r>
  <r>
    <x v="13"/>
    <x v="0"/>
    <x v="5"/>
    <n v="94"/>
  </r>
  <r>
    <x v="14"/>
    <x v="0"/>
    <x v="5"/>
    <n v="96"/>
  </r>
  <r>
    <x v="0"/>
    <x v="0"/>
    <x v="6"/>
    <n v="1207"/>
  </r>
  <r>
    <x v="1"/>
    <x v="0"/>
    <x v="6"/>
    <n v="1181"/>
  </r>
  <r>
    <x v="15"/>
    <x v="0"/>
    <x v="6"/>
    <n v="535"/>
  </r>
  <r>
    <x v="16"/>
    <x v="0"/>
    <x v="6"/>
    <n v="514"/>
  </r>
  <r>
    <x v="2"/>
    <x v="0"/>
    <x v="6"/>
    <n v="570"/>
  </r>
  <r>
    <x v="3"/>
    <x v="0"/>
    <x v="6"/>
    <n v="639"/>
  </r>
  <r>
    <x v="4"/>
    <x v="0"/>
    <x v="6"/>
    <n v="663"/>
  </r>
  <r>
    <x v="5"/>
    <x v="0"/>
    <x v="6"/>
    <n v="518"/>
  </r>
  <r>
    <x v="6"/>
    <x v="0"/>
    <x v="6"/>
    <n v="583"/>
  </r>
  <r>
    <x v="7"/>
    <x v="0"/>
    <x v="6"/>
    <n v="433"/>
  </r>
  <r>
    <x v="8"/>
    <x v="0"/>
    <x v="6"/>
    <n v="457"/>
  </r>
  <r>
    <x v="9"/>
    <x v="0"/>
    <x v="6"/>
    <n v="665"/>
  </r>
  <r>
    <x v="10"/>
    <x v="0"/>
    <x v="6"/>
    <n v="663"/>
  </r>
  <r>
    <x v="11"/>
    <x v="0"/>
    <x v="6"/>
    <n v="841"/>
  </r>
  <r>
    <x v="12"/>
    <x v="0"/>
    <x v="6"/>
    <n v="978"/>
  </r>
  <r>
    <x v="13"/>
    <x v="0"/>
    <x v="6"/>
    <n v="1007"/>
  </r>
  <r>
    <x v="14"/>
    <x v="0"/>
    <x v="6"/>
    <n v="944"/>
  </r>
  <r>
    <x v="0"/>
    <x v="0"/>
    <x v="7"/>
    <n v="510"/>
  </r>
  <r>
    <x v="1"/>
    <x v="0"/>
    <x v="7"/>
    <n v="453"/>
  </r>
  <r>
    <x v="15"/>
    <x v="0"/>
    <x v="7"/>
    <n v="259"/>
  </r>
  <r>
    <x v="16"/>
    <x v="0"/>
    <x v="7"/>
    <n v="263"/>
  </r>
  <r>
    <x v="2"/>
    <x v="0"/>
    <x v="7"/>
    <n v="346"/>
  </r>
  <r>
    <x v="3"/>
    <x v="0"/>
    <x v="7"/>
    <n v="354"/>
  </r>
  <r>
    <x v="4"/>
    <x v="0"/>
    <x v="7"/>
    <n v="431"/>
  </r>
  <r>
    <x v="5"/>
    <x v="0"/>
    <x v="7"/>
    <n v="417"/>
  </r>
  <r>
    <x v="6"/>
    <x v="0"/>
    <x v="7"/>
    <n v="430"/>
  </r>
  <r>
    <x v="7"/>
    <x v="0"/>
    <x v="7"/>
    <n v="392"/>
  </r>
  <r>
    <x v="8"/>
    <x v="0"/>
    <x v="7"/>
    <n v="398"/>
  </r>
  <r>
    <x v="9"/>
    <x v="0"/>
    <x v="7"/>
    <n v="571"/>
  </r>
  <r>
    <x v="10"/>
    <x v="0"/>
    <x v="7"/>
    <n v="582"/>
  </r>
  <r>
    <x v="11"/>
    <x v="0"/>
    <x v="7"/>
    <n v="663"/>
  </r>
  <r>
    <x v="12"/>
    <x v="0"/>
    <x v="7"/>
    <n v="640"/>
  </r>
  <r>
    <x v="13"/>
    <x v="0"/>
    <x v="7"/>
    <n v="763"/>
  </r>
  <r>
    <x v="14"/>
    <x v="0"/>
    <x v="7"/>
    <n v="845"/>
  </r>
  <r>
    <x v="0"/>
    <x v="0"/>
    <x v="8"/>
    <n v="674"/>
  </r>
  <r>
    <x v="1"/>
    <x v="0"/>
    <x v="8"/>
    <n v="529"/>
  </r>
  <r>
    <x v="15"/>
    <x v="0"/>
    <x v="8"/>
    <n v="194"/>
  </r>
  <r>
    <x v="16"/>
    <x v="0"/>
    <x v="8"/>
    <n v="214"/>
  </r>
  <r>
    <x v="2"/>
    <x v="0"/>
    <x v="8"/>
    <n v="223"/>
  </r>
  <r>
    <x v="3"/>
    <x v="0"/>
    <x v="8"/>
    <n v="195"/>
  </r>
  <r>
    <x v="4"/>
    <x v="0"/>
    <x v="8"/>
    <n v="256"/>
  </r>
  <r>
    <x v="5"/>
    <x v="0"/>
    <x v="8"/>
    <n v="266"/>
  </r>
  <r>
    <x v="6"/>
    <x v="0"/>
    <x v="8"/>
    <n v="237"/>
  </r>
  <r>
    <x v="7"/>
    <x v="0"/>
    <x v="8"/>
    <n v="220"/>
  </r>
  <r>
    <x v="8"/>
    <x v="0"/>
    <x v="8"/>
    <n v="259"/>
  </r>
  <r>
    <x v="9"/>
    <x v="0"/>
    <x v="8"/>
    <n v="357"/>
  </r>
  <r>
    <x v="10"/>
    <x v="0"/>
    <x v="8"/>
    <n v="363"/>
  </r>
  <r>
    <x v="11"/>
    <x v="0"/>
    <x v="8"/>
    <n v="373"/>
  </r>
  <r>
    <x v="12"/>
    <x v="0"/>
    <x v="8"/>
    <n v="368"/>
  </r>
  <r>
    <x v="13"/>
    <x v="0"/>
    <x v="8"/>
    <n v="432"/>
  </r>
  <r>
    <x v="14"/>
    <x v="0"/>
    <x v="8"/>
    <n v="373"/>
  </r>
  <r>
    <x v="0"/>
    <x v="0"/>
    <x v="9"/>
    <n v="534"/>
  </r>
  <r>
    <x v="1"/>
    <x v="0"/>
    <x v="9"/>
    <n v="603"/>
  </r>
  <r>
    <x v="15"/>
    <x v="0"/>
    <x v="9"/>
    <n v="309"/>
  </r>
  <r>
    <x v="16"/>
    <x v="0"/>
    <x v="9"/>
    <n v="280"/>
  </r>
  <r>
    <x v="2"/>
    <x v="0"/>
    <x v="9"/>
    <n v="322"/>
  </r>
  <r>
    <x v="3"/>
    <x v="0"/>
    <x v="9"/>
    <n v="429"/>
  </r>
  <r>
    <x v="4"/>
    <x v="0"/>
    <x v="9"/>
    <n v="420"/>
  </r>
  <r>
    <x v="5"/>
    <x v="0"/>
    <x v="9"/>
    <n v="515"/>
  </r>
  <r>
    <x v="6"/>
    <x v="0"/>
    <x v="9"/>
    <n v="585"/>
  </r>
  <r>
    <x v="7"/>
    <x v="0"/>
    <x v="9"/>
    <n v="551"/>
  </r>
  <r>
    <x v="8"/>
    <x v="0"/>
    <x v="9"/>
    <n v="608"/>
  </r>
  <r>
    <x v="9"/>
    <x v="0"/>
    <x v="9"/>
    <n v="596"/>
  </r>
  <r>
    <x v="10"/>
    <x v="0"/>
    <x v="9"/>
    <n v="631"/>
  </r>
  <r>
    <x v="11"/>
    <x v="0"/>
    <x v="9"/>
    <n v="648"/>
  </r>
  <r>
    <x v="12"/>
    <x v="0"/>
    <x v="9"/>
    <n v="452"/>
  </r>
  <r>
    <x v="13"/>
    <x v="0"/>
    <x v="9"/>
    <n v="842"/>
  </r>
  <r>
    <x v="14"/>
    <x v="0"/>
    <x v="9"/>
    <n v="832"/>
  </r>
  <r>
    <x v="0"/>
    <x v="0"/>
    <x v="10"/>
    <n v="286"/>
  </r>
  <r>
    <x v="1"/>
    <x v="0"/>
    <x v="10"/>
    <n v="263"/>
  </r>
  <r>
    <x v="15"/>
    <x v="0"/>
    <x v="10"/>
    <n v="217"/>
  </r>
  <r>
    <x v="16"/>
    <x v="0"/>
    <x v="10"/>
    <n v="209"/>
  </r>
  <r>
    <x v="3"/>
    <x v="0"/>
    <x v="10"/>
    <n v="278"/>
  </r>
  <r>
    <x v="4"/>
    <x v="0"/>
    <x v="10"/>
    <n v="306"/>
  </r>
  <r>
    <x v="5"/>
    <x v="0"/>
    <x v="10"/>
    <n v="338"/>
  </r>
  <r>
    <x v="6"/>
    <x v="0"/>
    <x v="10"/>
    <n v="366"/>
  </r>
  <r>
    <x v="7"/>
    <x v="0"/>
    <x v="10"/>
    <n v="392"/>
  </r>
  <r>
    <x v="8"/>
    <x v="0"/>
    <x v="10"/>
    <n v="342"/>
  </r>
  <r>
    <x v="9"/>
    <x v="0"/>
    <x v="10"/>
    <n v="342"/>
  </r>
  <r>
    <x v="10"/>
    <x v="0"/>
    <x v="10"/>
    <n v="293"/>
  </r>
  <r>
    <x v="11"/>
    <x v="0"/>
    <x v="10"/>
    <n v="349"/>
  </r>
  <r>
    <x v="12"/>
    <x v="0"/>
    <x v="10"/>
    <n v="442"/>
  </r>
  <r>
    <x v="13"/>
    <x v="0"/>
    <x v="10"/>
    <n v="523"/>
  </r>
  <r>
    <x v="14"/>
    <x v="0"/>
    <x v="10"/>
    <n v="525"/>
  </r>
  <r>
    <x v="0"/>
    <x v="0"/>
    <x v="11"/>
    <n v="147"/>
  </r>
  <r>
    <x v="1"/>
    <x v="0"/>
    <x v="11"/>
    <n v="494"/>
  </r>
  <r>
    <x v="15"/>
    <x v="0"/>
    <x v="11"/>
    <n v="318"/>
  </r>
  <r>
    <x v="16"/>
    <x v="0"/>
    <x v="11"/>
    <n v="277"/>
  </r>
  <r>
    <x v="2"/>
    <x v="0"/>
    <x v="11"/>
    <n v="374"/>
  </r>
  <r>
    <x v="3"/>
    <x v="0"/>
    <x v="11"/>
    <n v="439"/>
  </r>
  <r>
    <x v="4"/>
    <x v="0"/>
    <x v="11"/>
    <n v="478"/>
  </r>
  <r>
    <x v="5"/>
    <x v="0"/>
    <x v="11"/>
    <n v="533"/>
  </r>
  <r>
    <x v="6"/>
    <x v="0"/>
    <x v="11"/>
    <n v="561"/>
  </r>
  <r>
    <x v="7"/>
    <x v="0"/>
    <x v="11"/>
    <n v="740"/>
  </r>
  <r>
    <x v="8"/>
    <x v="0"/>
    <x v="11"/>
    <n v="707"/>
  </r>
  <r>
    <x v="9"/>
    <x v="0"/>
    <x v="11"/>
    <n v="562"/>
  </r>
  <r>
    <x v="10"/>
    <x v="0"/>
    <x v="11"/>
    <n v="682"/>
  </r>
  <r>
    <x v="11"/>
    <x v="0"/>
    <x v="11"/>
    <n v="696"/>
  </r>
  <r>
    <x v="12"/>
    <x v="0"/>
    <x v="11"/>
    <n v="666"/>
  </r>
  <r>
    <x v="13"/>
    <x v="0"/>
    <x v="11"/>
    <n v="893"/>
  </r>
  <r>
    <x v="14"/>
    <x v="0"/>
    <x v="11"/>
    <n v="780"/>
  </r>
  <r>
    <x v="0"/>
    <x v="0"/>
    <x v="12"/>
    <n v="209"/>
  </r>
  <r>
    <x v="1"/>
    <x v="0"/>
    <x v="12"/>
    <n v="207"/>
  </r>
  <r>
    <x v="15"/>
    <x v="0"/>
    <x v="12"/>
    <n v="193"/>
  </r>
  <r>
    <x v="16"/>
    <x v="0"/>
    <x v="12"/>
    <n v="258"/>
  </r>
  <r>
    <x v="2"/>
    <x v="0"/>
    <x v="12"/>
    <n v="249"/>
  </r>
  <r>
    <x v="3"/>
    <x v="0"/>
    <x v="12"/>
    <n v="282"/>
  </r>
  <r>
    <x v="4"/>
    <x v="0"/>
    <x v="12"/>
    <n v="290"/>
  </r>
  <r>
    <x v="5"/>
    <x v="0"/>
    <x v="12"/>
    <n v="281"/>
  </r>
  <r>
    <x v="6"/>
    <x v="0"/>
    <x v="12"/>
    <n v="286"/>
  </r>
  <r>
    <x v="7"/>
    <x v="0"/>
    <x v="12"/>
    <n v="296"/>
  </r>
  <r>
    <x v="8"/>
    <x v="0"/>
    <x v="12"/>
    <n v="308"/>
  </r>
  <r>
    <x v="9"/>
    <x v="0"/>
    <x v="12"/>
    <n v="230"/>
  </r>
  <r>
    <x v="10"/>
    <x v="0"/>
    <x v="12"/>
    <n v="263"/>
  </r>
  <r>
    <x v="11"/>
    <x v="0"/>
    <x v="12"/>
    <n v="296"/>
  </r>
  <r>
    <x v="12"/>
    <x v="0"/>
    <x v="12"/>
    <n v="295"/>
  </r>
  <r>
    <x v="13"/>
    <x v="0"/>
    <x v="12"/>
    <n v="332"/>
  </r>
  <r>
    <x v="14"/>
    <x v="0"/>
    <x v="12"/>
    <n v="325"/>
  </r>
  <r>
    <x v="0"/>
    <x v="0"/>
    <x v="13"/>
    <n v="491"/>
  </r>
  <r>
    <x v="1"/>
    <x v="0"/>
    <x v="13"/>
    <n v="630"/>
  </r>
  <r>
    <x v="15"/>
    <x v="0"/>
    <x v="13"/>
    <n v="379"/>
  </r>
  <r>
    <x v="16"/>
    <x v="0"/>
    <x v="13"/>
    <n v="508"/>
  </r>
  <r>
    <x v="2"/>
    <x v="0"/>
    <x v="13"/>
    <n v="542"/>
  </r>
  <r>
    <x v="3"/>
    <x v="0"/>
    <x v="13"/>
    <n v="722"/>
  </r>
  <r>
    <x v="4"/>
    <x v="0"/>
    <x v="13"/>
    <n v="843"/>
  </r>
  <r>
    <x v="5"/>
    <x v="0"/>
    <x v="13"/>
    <n v="1358"/>
  </r>
  <r>
    <x v="6"/>
    <x v="0"/>
    <x v="13"/>
    <n v="1406"/>
  </r>
  <r>
    <x v="7"/>
    <x v="0"/>
    <x v="13"/>
    <n v="1530"/>
  </r>
  <r>
    <x v="8"/>
    <x v="0"/>
    <x v="13"/>
    <n v="1543"/>
  </r>
  <r>
    <x v="9"/>
    <x v="0"/>
    <x v="13"/>
    <n v="1656"/>
  </r>
  <r>
    <x v="10"/>
    <x v="0"/>
    <x v="13"/>
    <n v="1622"/>
  </r>
  <r>
    <x v="11"/>
    <x v="0"/>
    <x v="13"/>
    <n v="1748"/>
  </r>
  <r>
    <x v="12"/>
    <x v="0"/>
    <x v="13"/>
    <n v="1659"/>
  </r>
  <r>
    <x v="13"/>
    <x v="0"/>
    <x v="13"/>
    <n v="2391"/>
  </r>
  <r>
    <x v="14"/>
    <x v="0"/>
    <x v="13"/>
    <n v="2597"/>
  </r>
  <r>
    <x v="0"/>
    <x v="0"/>
    <x v="14"/>
    <n v="1001"/>
  </r>
  <r>
    <x v="1"/>
    <x v="0"/>
    <x v="14"/>
    <n v="1052"/>
  </r>
  <r>
    <x v="15"/>
    <x v="0"/>
    <x v="14"/>
    <n v="426"/>
  </r>
  <r>
    <x v="16"/>
    <x v="0"/>
    <x v="14"/>
    <n v="614"/>
  </r>
  <r>
    <x v="2"/>
    <x v="0"/>
    <x v="14"/>
    <n v="703"/>
  </r>
  <r>
    <x v="3"/>
    <x v="0"/>
    <x v="14"/>
    <n v="739"/>
  </r>
  <r>
    <x v="4"/>
    <x v="0"/>
    <x v="14"/>
    <n v="380"/>
  </r>
  <r>
    <x v="5"/>
    <x v="0"/>
    <x v="14"/>
    <n v="548"/>
  </r>
  <r>
    <x v="6"/>
    <x v="0"/>
    <x v="14"/>
    <n v="529"/>
  </r>
  <r>
    <x v="7"/>
    <x v="0"/>
    <x v="14"/>
    <n v="1129"/>
  </r>
  <r>
    <x v="8"/>
    <x v="0"/>
    <x v="14"/>
    <n v="1133"/>
  </r>
  <r>
    <x v="9"/>
    <x v="0"/>
    <x v="14"/>
    <n v="1080"/>
  </r>
  <r>
    <x v="10"/>
    <x v="0"/>
    <x v="14"/>
    <n v="1170"/>
  </r>
  <r>
    <x v="11"/>
    <x v="0"/>
    <x v="14"/>
    <n v="1189"/>
  </r>
  <r>
    <x v="12"/>
    <x v="0"/>
    <x v="14"/>
    <n v="1322"/>
  </r>
  <r>
    <x v="13"/>
    <x v="0"/>
    <x v="14"/>
    <n v="1467"/>
  </r>
  <r>
    <x v="14"/>
    <x v="0"/>
    <x v="14"/>
    <n v="1385"/>
  </r>
  <r>
    <x v="0"/>
    <x v="0"/>
    <x v="15"/>
    <n v="733"/>
  </r>
  <r>
    <x v="1"/>
    <x v="0"/>
    <x v="15"/>
    <n v="714"/>
  </r>
  <r>
    <x v="15"/>
    <x v="0"/>
    <x v="15"/>
    <n v="549"/>
  </r>
  <r>
    <x v="16"/>
    <x v="0"/>
    <x v="15"/>
    <n v="568"/>
  </r>
  <r>
    <x v="2"/>
    <x v="0"/>
    <x v="15"/>
    <n v="550"/>
  </r>
  <r>
    <x v="3"/>
    <x v="0"/>
    <x v="15"/>
    <n v="562"/>
  </r>
  <r>
    <x v="4"/>
    <x v="0"/>
    <x v="15"/>
    <n v="513"/>
  </r>
  <r>
    <x v="5"/>
    <x v="0"/>
    <x v="15"/>
    <n v="653"/>
  </r>
  <r>
    <x v="6"/>
    <x v="0"/>
    <x v="15"/>
    <n v="761"/>
  </r>
  <r>
    <x v="7"/>
    <x v="0"/>
    <x v="15"/>
    <n v="777"/>
  </r>
  <r>
    <x v="8"/>
    <x v="0"/>
    <x v="15"/>
    <n v="727"/>
  </r>
  <r>
    <x v="9"/>
    <x v="0"/>
    <x v="15"/>
    <n v="739"/>
  </r>
  <r>
    <x v="10"/>
    <x v="0"/>
    <x v="15"/>
    <n v="687"/>
  </r>
  <r>
    <x v="11"/>
    <x v="0"/>
    <x v="15"/>
    <n v="650"/>
  </r>
  <r>
    <x v="12"/>
    <x v="0"/>
    <x v="15"/>
    <n v="740"/>
  </r>
  <r>
    <x v="13"/>
    <x v="0"/>
    <x v="15"/>
    <n v="865"/>
  </r>
  <r>
    <x v="14"/>
    <x v="0"/>
    <x v="15"/>
    <n v="1021"/>
  </r>
  <r>
    <x v="0"/>
    <x v="0"/>
    <x v="16"/>
    <n v="686"/>
  </r>
  <r>
    <x v="1"/>
    <x v="0"/>
    <x v="16"/>
    <n v="652"/>
  </r>
  <r>
    <x v="15"/>
    <x v="0"/>
    <x v="16"/>
    <n v="309"/>
  </r>
  <r>
    <x v="16"/>
    <x v="0"/>
    <x v="16"/>
    <n v="275"/>
  </r>
  <r>
    <x v="2"/>
    <x v="0"/>
    <x v="16"/>
    <n v="256"/>
  </r>
  <r>
    <x v="3"/>
    <x v="0"/>
    <x v="16"/>
    <n v="308"/>
  </r>
  <r>
    <x v="4"/>
    <x v="0"/>
    <x v="16"/>
    <n v="392"/>
  </r>
  <r>
    <x v="5"/>
    <x v="0"/>
    <x v="16"/>
    <n v="426"/>
  </r>
  <r>
    <x v="6"/>
    <x v="0"/>
    <x v="16"/>
    <n v="581"/>
  </r>
  <r>
    <x v="7"/>
    <x v="0"/>
    <x v="16"/>
    <n v="517"/>
  </r>
  <r>
    <x v="8"/>
    <x v="0"/>
    <x v="16"/>
    <n v="517"/>
  </r>
  <r>
    <x v="9"/>
    <x v="0"/>
    <x v="16"/>
    <n v="478"/>
  </r>
  <r>
    <x v="10"/>
    <x v="0"/>
    <x v="16"/>
    <n v="544"/>
  </r>
  <r>
    <x v="11"/>
    <x v="0"/>
    <x v="16"/>
    <n v="483"/>
  </r>
  <r>
    <x v="12"/>
    <x v="0"/>
    <x v="16"/>
    <n v="526"/>
  </r>
  <r>
    <x v="13"/>
    <x v="0"/>
    <x v="16"/>
    <n v="650"/>
  </r>
  <r>
    <x v="14"/>
    <x v="0"/>
    <x v="16"/>
    <n v="682"/>
  </r>
  <r>
    <x v="0"/>
    <x v="0"/>
    <x v="17"/>
    <n v="803"/>
  </r>
  <r>
    <x v="1"/>
    <x v="0"/>
    <x v="17"/>
    <n v="796"/>
  </r>
  <r>
    <x v="15"/>
    <x v="0"/>
    <x v="17"/>
    <n v="602"/>
  </r>
  <r>
    <x v="16"/>
    <x v="0"/>
    <x v="17"/>
    <n v="699"/>
  </r>
  <r>
    <x v="2"/>
    <x v="0"/>
    <x v="17"/>
    <n v="752"/>
  </r>
  <r>
    <x v="3"/>
    <x v="0"/>
    <x v="17"/>
    <n v="836"/>
  </r>
  <r>
    <x v="4"/>
    <x v="0"/>
    <x v="17"/>
    <n v="779"/>
  </r>
  <r>
    <x v="5"/>
    <x v="0"/>
    <x v="17"/>
    <n v="842"/>
  </r>
  <r>
    <x v="6"/>
    <x v="0"/>
    <x v="17"/>
    <n v="899"/>
  </r>
  <r>
    <x v="7"/>
    <x v="0"/>
    <x v="17"/>
    <n v="1151"/>
  </r>
  <r>
    <x v="8"/>
    <x v="0"/>
    <x v="17"/>
    <n v="1287"/>
  </r>
  <r>
    <x v="9"/>
    <x v="0"/>
    <x v="17"/>
    <n v="1121"/>
  </r>
  <r>
    <x v="10"/>
    <x v="0"/>
    <x v="17"/>
    <n v="1161"/>
  </r>
  <r>
    <x v="11"/>
    <x v="0"/>
    <x v="17"/>
    <n v="959"/>
  </r>
  <r>
    <x v="12"/>
    <x v="0"/>
    <x v="17"/>
    <n v="1256"/>
  </r>
  <r>
    <x v="13"/>
    <x v="0"/>
    <x v="17"/>
    <n v="1417"/>
  </r>
  <r>
    <x v="14"/>
    <x v="0"/>
    <x v="17"/>
    <n v="1565"/>
  </r>
  <r>
    <x v="11"/>
    <x v="0"/>
    <x v="18"/>
    <n v="93"/>
  </r>
  <r>
    <x v="12"/>
    <x v="0"/>
    <x v="18"/>
    <n v="147"/>
  </r>
  <r>
    <x v="13"/>
    <x v="0"/>
    <x v="18"/>
    <n v="160"/>
  </r>
  <r>
    <x v="14"/>
    <x v="0"/>
    <x v="18"/>
    <n v="213"/>
  </r>
  <r>
    <x v="0"/>
    <x v="0"/>
    <x v="19"/>
    <n v="504"/>
  </r>
  <r>
    <x v="1"/>
    <x v="0"/>
    <x v="19"/>
    <n v="495"/>
  </r>
  <r>
    <x v="15"/>
    <x v="0"/>
    <x v="19"/>
    <n v="274"/>
  </r>
  <r>
    <x v="16"/>
    <x v="0"/>
    <x v="19"/>
    <n v="355"/>
  </r>
  <r>
    <x v="2"/>
    <x v="0"/>
    <x v="19"/>
    <n v="367"/>
  </r>
  <r>
    <x v="3"/>
    <x v="0"/>
    <x v="19"/>
    <n v="421"/>
  </r>
  <r>
    <x v="4"/>
    <x v="0"/>
    <x v="19"/>
    <n v="604"/>
  </r>
  <r>
    <x v="5"/>
    <x v="0"/>
    <x v="19"/>
    <n v="629"/>
  </r>
  <r>
    <x v="6"/>
    <x v="0"/>
    <x v="19"/>
    <n v="602"/>
  </r>
  <r>
    <x v="7"/>
    <x v="0"/>
    <x v="19"/>
    <n v="662"/>
  </r>
  <r>
    <x v="8"/>
    <x v="0"/>
    <x v="19"/>
    <n v="580"/>
  </r>
  <r>
    <x v="9"/>
    <x v="0"/>
    <x v="19"/>
    <n v="574"/>
  </r>
  <r>
    <x v="10"/>
    <x v="0"/>
    <x v="19"/>
    <n v="624"/>
  </r>
  <r>
    <x v="11"/>
    <x v="0"/>
    <x v="19"/>
    <n v="677"/>
  </r>
  <r>
    <x v="12"/>
    <x v="0"/>
    <x v="19"/>
    <n v="618"/>
  </r>
  <r>
    <x v="13"/>
    <x v="0"/>
    <x v="19"/>
    <n v="902"/>
  </r>
  <r>
    <x v="14"/>
    <x v="0"/>
    <x v="19"/>
    <n v="901"/>
  </r>
  <r>
    <x v="0"/>
    <x v="0"/>
    <x v="20"/>
    <n v="508"/>
  </r>
  <r>
    <x v="1"/>
    <x v="0"/>
    <x v="20"/>
    <n v="352"/>
  </r>
  <r>
    <x v="15"/>
    <x v="0"/>
    <x v="20"/>
    <n v="287"/>
  </r>
  <r>
    <x v="16"/>
    <x v="0"/>
    <x v="20"/>
    <n v="310"/>
  </r>
  <r>
    <x v="2"/>
    <x v="0"/>
    <x v="20"/>
    <n v="378"/>
  </r>
  <r>
    <x v="3"/>
    <x v="0"/>
    <x v="20"/>
    <n v="329"/>
  </r>
  <r>
    <x v="4"/>
    <x v="0"/>
    <x v="20"/>
    <n v="347"/>
  </r>
  <r>
    <x v="5"/>
    <x v="0"/>
    <x v="20"/>
    <n v="430"/>
  </r>
  <r>
    <x v="6"/>
    <x v="0"/>
    <x v="20"/>
    <n v="347"/>
  </r>
  <r>
    <x v="7"/>
    <x v="0"/>
    <x v="20"/>
    <n v="539"/>
  </r>
  <r>
    <x v="8"/>
    <x v="0"/>
    <x v="20"/>
    <n v="588"/>
  </r>
  <r>
    <x v="9"/>
    <x v="0"/>
    <x v="20"/>
    <n v="515"/>
  </r>
  <r>
    <x v="10"/>
    <x v="0"/>
    <x v="20"/>
    <n v="523"/>
  </r>
  <r>
    <x v="11"/>
    <x v="0"/>
    <x v="20"/>
    <n v="606"/>
  </r>
  <r>
    <x v="12"/>
    <x v="0"/>
    <x v="20"/>
    <n v="232"/>
  </r>
  <r>
    <x v="13"/>
    <x v="0"/>
    <x v="20"/>
    <n v="739"/>
  </r>
  <r>
    <x v="14"/>
    <x v="0"/>
    <x v="20"/>
    <n v="695"/>
  </r>
  <r>
    <x v="0"/>
    <x v="1"/>
    <x v="21"/>
    <n v="155"/>
  </r>
  <r>
    <x v="1"/>
    <x v="1"/>
    <x v="21"/>
    <n v="177"/>
  </r>
  <r>
    <x v="15"/>
    <x v="1"/>
    <x v="21"/>
    <n v="83"/>
  </r>
  <r>
    <x v="16"/>
    <x v="1"/>
    <x v="21"/>
    <n v="107"/>
  </r>
  <r>
    <x v="2"/>
    <x v="1"/>
    <x v="21"/>
    <n v="99"/>
  </r>
  <r>
    <x v="3"/>
    <x v="1"/>
    <x v="21"/>
    <n v="95"/>
  </r>
  <r>
    <x v="4"/>
    <x v="1"/>
    <x v="21"/>
    <n v="183"/>
  </r>
  <r>
    <x v="5"/>
    <x v="1"/>
    <x v="21"/>
    <n v="81"/>
  </r>
  <r>
    <x v="6"/>
    <x v="1"/>
    <x v="21"/>
    <n v="26"/>
  </r>
  <r>
    <x v="7"/>
    <x v="1"/>
    <x v="21"/>
    <n v="53"/>
  </r>
  <r>
    <x v="8"/>
    <x v="1"/>
    <x v="21"/>
    <n v="181"/>
  </r>
  <r>
    <x v="9"/>
    <x v="1"/>
    <x v="21"/>
    <n v="224"/>
  </r>
  <r>
    <x v="10"/>
    <x v="1"/>
    <x v="21"/>
    <n v="346"/>
  </r>
  <r>
    <x v="11"/>
    <x v="1"/>
    <x v="21"/>
    <n v="377"/>
  </r>
  <r>
    <x v="12"/>
    <x v="1"/>
    <x v="21"/>
    <n v="410"/>
  </r>
  <r>
    <x v="13"/>
    <x v="1"/>
    <x v="21"/>
    <n v="390"/>
  </r>
  <r>
    <x v="14"/>
    <x v="1"/>
    <x v="21"/>
    <n v="271"/>
  </r>
  <r>
    <x v="0"/>
    <x v="1"/>
    <x v="22"/>
    <n v="459"/>
  </r>
  <r>
    <x v="1"/>
    <x v="1"/>
    <x v="22"/>
    <n v="498"/>
  </r>
  <r>
    <x v="15"/>
    <x v="1"/>
    <x v="22"/>
    <n v="412"/>
  </r>
  <r>
    <x v="16"/>
    <x v="1"/>
    <x v="22"/>
    <n v="345"/>
  </r>
  <r>
    <x v="2"/>
    <x v="1"/>
    <x v="22"/>
    <n v="436"/>
  </r>
  <r>
    <x v="3"/>
    <x v="1"/>
    <x v="22"/>
    <n v="560"/>
  </r>
  <r>
    <x v="4"/>
    <x v="1"/>
    <x v="22"/>
    <n v="521"/>
  </r>
  <r>
    <x v="5"/>
    <x v="1"/>
    <x v="22"/>
    <n v="469"/>
  </r>
  <r>
    <x v="6"/>
    <x v="1"/>
    <x v="22"/>
    <n v="427"/>
  </r>
  <r>
    <x v="7"/>
    <x v="1"/>
    <x v="22"/>
    <n v="481"/>
  </r>
  <r>
    <x v="8"/>
    <x v="1"/>
    <x v="22"/>
    <n v="601"/>
  </r>
  <r>
    <x v="9"/>
    <x v="1"/>
    <x v="22"/>
    <n v="601"/>
  </r>
  <r>
    <x v="10"/>
    <x v="1"/>
    <x v="22"/>
    <n v="552"/>
  </r>
  <r>
    <x v="11"/>
    <x v="1"/>
    <x v="22"/>
    <n v="578"/>
  </r>
  <r>
    <x v="12"/>
    <x v="1"/>
    <x v="22"/>
    <n v="546"/>
  </r>
  <r>
    <x v="13"/>
    <x v="1"/>
    <x v="22"/>
    <n v="704"/>
  </r>
  <r>
    <x v="14"/>
    <x v="1"/>
    <x v="22"/>
    <n v="561"/>
  </r>
  <r>
    <x v="0"/>
    <x v="1"/>
    <x v="23"/>
    <n v="710"/>
  </r>
  <r>
    <x v="1"/>
    <x v="1"/>
    <x v="23"/>
    <n v="796"/>
  </r>
  <r>
    <x v="15"/>
    <x v="1"/>
    <x v="23"/>
    <n v="681"/>
  </r>
  <r>
    <x v="16"/>
    <x v="1"/>
    <x v="23"/>
    <n v="671"/>
  </r>
  <r>
    <x v="2"/>
    <x v="1"/>
    <x v="23"/>
    <n v="856"/>
  </r>
  <r>
    <x v="3"/>
    <x v="1"/>
    <x v="23"/>
    <n v="811"/>
  </r>
  <r>
    <x v="4"/>
    <x v="1"/>
    <x v="23"/>
    <n v="768"/>
  </r>
  <r>
    <x v="5"/>
    <x v="1"/>
    <x v="23"/>
    <n v="786"/>
  </r>
  <r>
    <x v="6"/>
    <x v="1"/>
    <x v="23"/>
    <n v="615"/>
  </r>
  <r>
    <x v="7"/>
    <x v="1"/>
    <x v="23"/>
    <n v="568"/>
  </r>
  <r>
    <x v="8"/>
    <x v="1"/>
    <x v="23"/>
    <n v="695"/>
  </r>
  <r>
    <x v="9"/>
    <x v="1"/>
    <x v="23"/>
    <n v="786"/>
  </r>
  <r>
    <x v="10"/>
    <x v="1"/>
    <x v="23"/>
    <n v="803"/>
  </r>
  <r>
    <x v="11"/>
    <x v="1"/>
    <x v="23"/>
    <n v="769"/>
  </r>
  <r>
    <x v="12"/>
    <x v="1"/>
    <x v="23"/>
    <n v="727"/>
  </r>
  <r>
    <x v="13"/>
    <x v="1"/>
    <x v="23"/>
    <n v="814"/>
  </r>
  <r>
    <x v="14"/>
    <x v="1"/>
    <x v="23"/>
    <n v="849"/>
  </r>
  <r>
    <x v="0"/>
    <x v="1"/>
    <x v="24"/>
    <n v="2876"/>
  </r>
  <r>
    <x v="1"/>
    <x v="1"/>
    <x v="24"/>
    <n v="2575"/>
  </r>
  <r>
    <x v="15"/>
    <x v="1"/>
    <x v="24"/>
    <n v="2453"/>
  </r>
  <r>
    <x v="16"/>
    <x v="1"/>
    <x v="24"/>
    <n v="2738"/>
  </r>
  <r>
    <x v="2"/>
    <x v="1"/>
    <x v="24"/>
    <n v="2603"/>
  </r>
  <r>
    <x v="3"/>
    <x v="1"/>
    <x v="24"/>
    <n v="2455"/>
  </r>
  <r>
    <x v="4"/>
    <x v="1"/>
    <x v="24"/>
    <n v="2367"/>
  </r>
  <r>
    <x v="5"/>
    <x v="1"/>
    <x v="24"/>
    <n v="2371"/>
  </r>
  <r>
    <x v="6"/>
    <x v="1"/>
    <x v="24"/>
    <n v="2576"/>
  </r>
  <r>
    <x v="7"/>
    <x v="1"/>
    <x v="24"/>
    <n v="2675"/>
  </r>
  <r>
    <x v="8"/>
    <x v="1"/>
    <x v="24"/>
    <n v="2697"/>
  </r>
  <r>
    <x v="9"/>
    <x v="1"/>
    <x v="24"/>
    <n v="2630"/>
  </r>
  <r>
    <x v="10"/>
    <x v="1"/>
    <x v="24"/>
    <n v="2803"/>
  </r>
  <r>
    <x v="11"/>
    <x v="1"/>
    <x v="24"/>
    <n v="2682"/>
  </r>
  <r>
    <x v="12"/>
    <x v="1"/>
    <x v="24"/>
    <n v="2585"/>
  </r>
  <r>
    <x v="13"/>
    <x v="1"/>
    <x v="24"/>
    <n v="2629"/>
  </r>
  <r>
    <x v="14"/>
    <x v="1"/>
    <x v="24"/>
    <n v="2647"/>
  </r>
  <r>
    <x v="0"/>
    <x v="1"/>
    <x v="25"/>
    <n v="805"/>
  </r>
  <r>
    <x v="1"/>
    <x v="1"/>
    <x v="25"/>
    <n v="819"/>
  </r>
  <r>
    <x v="15"/>
    <x v="1"/>
    <x v="25"/>
    <n v="778"/>
  </r>
  <r>
    <x v="16"/>
    <x v="1"/>
    <x v="25"/>
    <n v="693"/>
  </r>
  <r>
    <x v="2"/>
    <x v="1"/>
    <x v="25"/>
    <n v="721"/>
  </r>
  <r>
    <x v="3"/>
    <x v="1"/>
    <x v="25"/>
    <n v="680"/>
  </r>
  <r>
    <x v="4"/>
    <x v="1"/>
    <x v="25"/>
    <n v="674"/>
  </r>
  <r>
    <x v="5"/>
    <x v="1"/>
    <x v="25"/>
    <n v="693"/>
  </r>
  <r>
    <x v="6"/>
    <x v="1"/>
    <x v="25"/>
    <n v="788"/>
  </r>
  <r>
    <x v="7"/>
    <x v="1"/>
    <x v="25"/>
    <n v="871"/>
  </r>
  <r>
    <x v="8"/>
    <x v="1"/>
    <x v="25"/>
    <n v="839"/>
  </r>
  <r>
    <x v="9"/>
    <x v="1"/>
    <x v="25"/>
    <n v="879"/>
  </r>
  <r>
    <x v="10"/>
    <x v="1"/>
    <x v="25"/>
    <n v="935"/>
  </r>
  <r>
    <x v="11"/>
    <x v="1"/>
    <x v="25"/>
    <n v="1028"/>
  </r>
  <r>
    <x v="12"/>
    <x v="1"/>
    <x v="25"/>
    <n v="1038"/>
  </r>
  <r>
    <x v="13"/>
    <x v="1"/>
    <x v="25"/>
    <n v="1104"/>
  </r>
  <r>
    <x v="14"/>
    <x v="1"/>
    <x v="25"/>
    <n v="1140"/>
  </r>
  <r>
    <x v="0"/>
    <x v="1"/>
    <x v="26"/>
    <n v="1016"/>
  </r>
  <r>
    <x v="1"/>
    <x v="1"/>
    <x v="26"/>
    <n v="1038"/>
  </r>
  <r>
    <x v="15"/>
    <x v="1"/>
    <x v="26"/>
    <n v="963"/>
  </r>
  <r>
    <x v="16"/>
    <x v="1"/>
    <x v="26"/>
    <n v="996"/>
  </r>
  <r>
    <x v="2"/>
    <x v="1"/>
    <x v="26"/>
    <n v="996"/>
  </r>
  <r>
    <x v="3"/>
    <x v="1"/>
    <x v="26"/>
    <n v="996"/>
  </r>
  <r>
    <x v="4"/>
    <x v="1"/>
    <x v="26"/>
    <n v="916"/>
  </r>
  <r>
    <x v="5"/>
    <x v="1"/>
    <x v="26"/>
    <n v="1100"/>
  </r>
  <r>
    <x v="6"/>
    <x v="1"/>
    <x v="26"/>
    <n v="1135"/>
  </r>
  <r>
    <x v="7"/>
    <x v="1"/>
    <x v="26"/>
    <n v="996"/>
  </r>
  <r>
    <x v="8"/>
    <x v="1"/>
    <x v="26"/>
    <n v="1020"/>
  </r>
  <r>
    <x v="9"/>
    <x v="1"/>
    <x v="26"/>
    <n v="1009"/>
  </r>
  <r>
    <x v="10"/>
    <x v="1"/>
    <x v="26"/>
    <n v="941"/>
  </r>
  <r>
    <x v="11"/>
    <x v="1"/>
    <x v="26"/>
    <n v="937"/>
  </r>
  <r>
    <x v="12"/>
    <x v="1"/>
    <x v="26"/>
    <n v="959"/>
  </r>
  <r>
    <x v="13"/>
    <x v="1"/>
    <x v="26"/>
    <n v="1004"/>
  </r>
  <r>
    <x v="14"/>
    <x v="1"/>
    <x v="26"/>
    <n v="1088"/>
  </r>
  <r>
    <x v="0"/>
    <x v="1"/>
    <x v="27"/>
    <n v="1312"/>
  </r>
  <r>
    <x v="1"/>
    <x v="1"/>
    <x v="27"/>
    <n v="1272"/>
  </r>
  <r>
    <x v="15"/>
    <x v="1"/>
    <x v="27"/>
    <n v="1172"/>
  </r>
  <r>
    <x v="16"/>
    <x v="1"/>
    <x v="27"/>
    <n v="1101"/>
  </r>
  <r>
    <x v="2"/>
    <x v="1"/>
    <x v="27"/>
    <n v="1104"/>
  </r>
  <r>
    <x v="3"/>
    <x v="1"/>
    <x v="27"/>
    <n v="1209"/>
  </r>
  <r>
    <x v="4"/>
    <x v="1"/>
    <x v="27"/>
    <n v="1249"/>
  </r>
  <r>
    <x v="5"/>
    <x v="1"/>
    <x v="27"/>
    <n v="1235"/>
  </r>
  <r>
    <x v="6"/>
    <x v="1"/>
    <x v="27"/>
    <n v="1190"/>
  </r>
  <r>
    <x v="7"/>
    <x v="1"/>
    <x v="27"/>
    <n v="1202"/>
  </r>
  <r>
    <x v="8"/>
    <x v="1"/>
    <x v="27"/>
    <n v="1226"/>
  </r>
  <r>
    <x v="9"/>
    <x v="1"/>
    <x v="27"/>
    <n v="1328"/>
  </r>
  <r>
    <x v="10"/>
    <x v="1"/>
    <x v="27"/>
    <n v="1267"/>
  </r>
  <r>
    <x v="11"/>
    <x v="1"/>
    <x v="27"/>
    <n v="1524"/>
  </r>
  <r>
    <x v="12"/>
    <x v="1"/>
    <x v="27"/>
    <n v="1523"/>
  </r>
  <r>
    <x v="13"/>
    <x v="1"/>
    <x v="27"/>
    <n v="1552"/>
  </r>
  <r>
    <x v="14"/>
    <x v="1"/>
    <x v="27"/>
    <n v="1456"/>
  </r>
  <r>
    <x v="0"/>
    <x v="1"/>
    <x v="28"/>
    <n v="1216"/>
  </r>
  <r>
    <x v="1"/>
    <x v="1"/>
    <x v="28"/>
    <n v="1447"/>
  </r>
  <r>
    <x v="15"/>
    <x v="1"/>
    <x v="28"/>
    <n v="1212"/>
  </r>
  <r>
    <x v="16"/>
    <x v="1"/>
    <x v="28"/>
    <n v="1124"/>
  </r>
  <r>
    <x v="2"/>
    <x v="1"/>
    <x v="28"/>
    <n v="1240"/>
  </r>
  <r>
    <x v="3"/>
    <x v="1"/>
    <x v="28"/>
    <n v="1395"/>
  </r>
  <r>
    <x v="4"/>
    <x v="1"/>
    <x v="28"/>
    <n v="1436"/>
  </r>
  <r>
    <x v="5"/>
    <x v="1"/>
    <x v="28"/>
    <n v="1505"/>
  </r>
  <r>
    <x v="6"/>
    <x v="1"/>
    <x v="28"/>
    <n v="1458"/>
  </r>
  <r>
    <x v="7"/>
    <x v="1"/>
    <x v="28"/>
    <n v="1411"/>
  </r>
  <r>
    <x v="8"/>
    <x v="1"/>
    <x v="28"/>
    <n v="1392"/>
  </r>
  <r>
    <x v="9"/>
    <x v="1"/>
    <x v="28"/>
    <n v="1544"/>
  </r>
  <r>
    <x v="10"/>
    <x v="1"/>
    <x v="28"/>
    <n v="1388"/>
  </r>
  <r>
    <x v="11"/>
    <x v="1"/>
    <x v="28"/>
    <n v="1651"/>
  </r>
  <r>
    <x v="12"/>
    <x v="1"/>
    <x v="28"/>
    <n v="1679"/>
  </r>
  <r>
    <x v="13"/>
    <x v="1"/>
    <x v="28"/>
    <n v="1644"/>
  </r>
  <r>
    <x v="14"/>
    <x v="1"/>
    <x v="28"/>
    <n v="1818"/>
  </r>
  <r>
    <x v="0"/>
    <x v="1"/>
    <x v="29"/>
    <n v="1544"/>
  </r>
  <r>
    <x v="1"/>
    <x v="1"/>
    <x v="29"/>
    <n v="1504"/>
  </r>
  <r>
    <x v="15"/>
    <x v="1"/>
    <x v="29"/>
    <n v="1468"/>
  </r>
  <r>
    <x v="16"/>
    <x v="1"/>
    <x v="29"/>
    <n v="1656"/>
  </r>
  <r>
    <x v="2"/>
    <x v="1"/>
    <x v="29"/>
    <n v="1483"/>
  </r>
  <r>
    <x v="3"/>
    <x v="1"/>
    <x v="29"/>
    <n v="1451"/>
  </r>
  <r>
    <x v="4"/>
    <x v="1"/>
    <x v="29"/>
    <n v="1400"/>
  </r>
  <r>
    <x v="5"/>
    <x v="1"/>
    <x v="29"/>
    <n v="1458"/>
  </r>
  <r>
    <x v="6"/>
    <x v="1"/>
    <x v="29"/>
    <n v="1445"/>
  </r>
  <r>
    <x v="7"/>
    <x v="1"/>
    <x v="29"/>
    <n v="1312"/>
  </r>
  <r>
    <x v="8"/>
    <x v="1"/>
    <x v="29"/>
    <n v="1478"/>
  </r>
  <r>
    <x v="9"/>
    <x v="1"/>
    <x v="29"/>
    <n v="1442"/>
  </r>
  <r>
    <x v="10"/>
    <x v="1"/>
    <x v="29"/>
    <n v="1365"/>
  </r>
  <r>
    <x v="11"/>
    <x v="1"/>
    <x v="29"/>
    <n v="1404"/>
  </r>
  <r>
    <x v="12"/>
    <x v="1"/>
    <x v="29"/>
    <n v="1334"/>
  </r>
  <r>
    <x v="13"/>
    <x v="1"/>
    <x v="29"/>
    <n v="1339"/>
  </r>
  <r>
    <x v="14"/>
    <x v="1"/>
    <x v="29"/>
    <n v="1417"/>
  </r>
  <r>
    <x v="0"/>
    <x v="1"/>
    <x v="30"/>
    <n v="1501"/>
  </r>
  <r>
    <x v="1"/>
    <x v="1"/>
    <x v="30"/>
    <n v="1545"/>
  </r>
  <r>
    <x v="15"/>
    <x v="1"/>
    <x v="30"/>
    <n v="1276"/>
  </r>
  <r>
    <x v="16"/>
    <x v="1"/>
    <x v="30"/>
    <n v="1348"/>
  </r>
  <r>
    <x v="2"/>
    <x v="1"/>
    <x v="30"/>
    <n v="1450"/>
  </r>
  <r>
    <x v="3"/>
    <x v="1"/>
    <x v="30"/>
    <n v="1335"/>
  </r>
  <r>
    <x v="4"/>
    <x v="1"/>
    <x v="30"/>
    <n v="1456"/>
  </r>
  <r>
    <x v="5"/>
    <x v="1"/>
    <x v="30"/>
    <n v="1441"/>
  </r>
  <r>
    <x v="6"/>
    <x v="1"/>
    <x v="30"/>
    <n v="1252"/>
  </r>
  <r>
    <x v="7"/>
    <x v="1"/>
    <x v="30"/>
    <n v="1358"/>
  </r>
  <r>
    <x v="8"/>
    <x v="1"/>
    <x v="30"/>
    <n v="1436"/>
  </r>
  <r>
    <x v="9"/>
    <x v="1"/>
    <x v="30"/>
    <n v="1501"/>
  </r>
  <r>
    <x v="10"/>
    <x v="1"/>
    <x v="30"/>
    <n v="1545"/>
  </r>
  <r>
    <x v="11"/>
    <x v="1"/>
    <x v="30"/>
    <n v="1496"/>
  </r>
  <r>
    <x v="12"/>
    <x v="1"/>
    <x v="30"/>
    <n v="1586"/>
  </r>
  <r>
    <x v="13"/>
    <x v="1"/>
    <x v="30"/>
    <n v="1479"/>
  </r>
  <r>
    <x v="14"/>
    <x v="1"/>
    <x v="30"/>
    <n v="1547"/>
  </r>
  <r>
    <x v="0"/>
    <x v="1"/>
    <x v="31"/>
    <n v="3635"/>
  </r>
  <r>
    <x v="1"/>
    <x v="1"/>
    <x v="31"/>
    <n v="3845"/>
  </r>
  <r>
    <x v="15"/>
    <x v="1"/>
    <x v="31"/>
    <n v="3697"/>
  </r>
  <r>
    <x v="16"/>
    <x v="1"/>
    <x v="31"/>
    <n v="3514"/>
  </r>
  <r>
    <x v="2"/>
    <x v="1"/>
    <x v="31"/>
    <n v="3787"/>
  </r>
  <r>
    <x v="3"/>
    <x v="1"/>
    <x v="31"/>
    <n v="3877"/>
  </r>
  <r>
    <x v="4"/>
    <x v="1"/>
    <x v="31"/>
    <n v="4174"/>
  </r>
  <r>
    <x v="5"/>
    <x v="1"/>
    <x v="31"/>
    <n v="4113"/>
  </r>
  <r>
    <x v="6"/>
    <x v="1"/>
    <x v="31"/>
    <n v="4376"/>
  </r>
  <r>
    <x v="7"/>
    <x v="1"/>
    <x v="31"/>
    <n v="4607"/>
  </r>
  <r>
    <x v="8"/>
    <x v="1"/>
    <x v="31"/>
    <n v="4631"/>
  </r>
  <r>
    <x v="9"/>
    <x v="1"/>
    <x v="31"/>
    <n v="4663"/>
  </r>
  <r>
    <x v="10"/>
    <x v="1"/>
    <x v="31"/>
    <n v="4785"/>
  </r>
  <r>
    <x v="11"/>
    <x v="1"/>
    <x v="31"/>
    <n v="4904"/>
  </r>
  <r>
    <x v="12"/>
    <x v="1"/>
    <x v="31"/>
    <n v="5702"/>
  </r>
  <r>
    <x v="13"/>
    <x v="1"/>
    <x v="31"/>
    <n v="5499"/>
  </r>
  <r>
    <x v="14"/>
    <x v="1"/>
    <x v="31"/>
    <n v="6004"/>
  </r>
  <r>
    <x v="0"/>
    <x v="1"/>
    <x v="32"/>
    <n v="526"/>
  </r>
  <r>
    <x v="1"/>
    <x v="1"/>
    <x v="32"/>
    <n v="602"/>
  </r>
  <r>
    <x v="15"/>
    <x v="1"/>
    <x v="32"/>
    <n v="568"/>
  </r>
  <r>
    <x v="16"/>
    <x v="1"/>
    <x v="32"/>
    <n v="570"/>
  </r>
  <r>
    <x v="2"/>
    <x v="1"/>
    <x v="32"/>
    <n v="620"/>
  </r>
  <r>
    <x v="3"/>
    <x v="1"/>
    <x v="32"/>
    <n v="647"/>
  </r>
  <r>
    <x v="4"/>
    <x v="1"/>
    <x v="32"/>
    <n v="689"/>
  </r>
  <r>
    <x v="5"/>
    <x v="1"/>
    <x v="32"/>
    <n v="736"/>
  </r>
  <r>
    <x v="6"/>
    <x v="1"/>
    <x v="32"/>
    <n v="748"/>
  </r>
  <r>
    <x v="7"/>
    <x v="1"/>
    <x v="32"/>
    <n v="765"/>
  </r>
  <r>
    <x v="8"/>
    <x v="1"/>
    <x v="32"/>
    <n v="906"/>
  </r>
  <r>
    <x v="9"/>
    <x v="1"/>
    <x v="32"/>
    <n v="1016"/>
  </r>
  <r>
    <x v="10"/>
    <x v="1"/>
    <x v="32"/>
    <n v="929"/>
  </r>
  <r>
    <x v="11"/>
    <x v="1"/>
    <x v="32"/>
    <n v="916"/>
  </r>
  <r>
    <x v="12"/>
    <x v="1"/>
    <x v="32"/>
    <n v="975"/>
  </r>
  <r>
    <x v="13"/>
    <x v="1"/>
    <x v="32"/>
    <n v="979"/>
  </r>
  <r>
    <x v="14"/>
    <x v="1"/>
    <x v="32"/>
    <n v="1109"/>
  </r>
  <r>
    <x v="0"/>
    <x v="1"/>
    <x v="33"/>
    <n v="669"/>
  </r>
  <r>
    <x v="1"/>
    <x v="1"/>
    <x v="33"/>
    <n v="715"/>
  </r>
  <r>
    <x v="15"/>
    <x v="1"/>
    <x v="33"/>
    <n v="632"/>
  </r>
  <r>
    <x v="16"/>
    <x v="1"/>
    <x v="33"/>
    <n v="458"/>
  </r>
  <r>
    <x v="2"/>
    <x v="1"/>
    <x v="33"/>
    <n v="529"/>
  </r>
  <r>
    <x v="3"/>
    <x v="1"/>
    <x v="33"/>
    <n v="541"/>
  </r>
  <r>
    <x v="4"/>
    <x v="1"/>
    <x v="33"/>
    <n v="498"/>
  </r>
  <r>
    <x v="5"/>
    <x v="1"/>
    <x v="33"/>
    <n v="515"/>
  </r>
  <r>
    <x v="6"/>
    <x v="1"/>
    <x v="33"/>
    <n v="426"/>
  </r>
  <r>
    <x v="7"/>
    <x v="1"/>
    <x v="33"/>
    <n v="466"/>
  </r>
  <r>
    <x v="8"/>
    <x v="1"/>
    <x v="33"/>
    <n v="399"/>
  </r>
  <r>
    <x v="9"/>
    <x v="1"/>
    <x v="33"/>
    <n v="498"/>
  </r>
  <r>
    <x v="10"/>
    <x v="1"/>
    <x v="33"/>
    <n v="477"/>
  </r>
  <r>
    <x v="11"/>
    <x v="1"/>
    <x v="33"/>
    <n v="462"/>
  </r>
  <r>
    <x v="12"/>
    <x v="1"/>
    <x v="33"/>
    <n v="438"/>
  </r>
  <r>
    <x v="13"/>
    <x v="1"/>
    <x v="33"/>
    <n v="494"/>
  </r>
  <r>
    <x v="14"/>
    <x v="1"/>
    <x v="33"/>
    <n v="479"/>
  </r>
  <r>
    <x v="4"/>
    <x v="2"/>
    <x v="34"/>
    <n v="158"/>
  </r>
  <r>
    <x v="5"/>
    <x v="2"/>
    <x v="34"/>
    <n v="179"/>
  </r>
  <r>
    <x v="6"/>
    <x v="2"/>
    <x v="34"/>
    <n v="155"/>
  </r>
  <r>
    <x v="7"/>
    <x v="2"/>
    <x v="34"/>
    <n v="150"/>
  </r>
  <r>
    <x v="8"/>
    <x v="2"/>
    <x v="34"/>
    <n v="146"/>
  </r>
  <r>
    <x v="9"/>
    <x v="2"/>
    <x v="34"/>
    <n v="184"/>
  </r>
  <r>
    <x v="10"/>
    <x v="2"/>
    <x v="34"/>
    <n v="171"/>
  </r>
  <r>
    <x v="11"/>
    <x v="2"/>
    <x v="34"/>
    <n v="178"/>
  </r>
  <r>
    <x v="12"/>
    <x v="2"/>
    <x v="34"/>
    <n v="178"/>
  </r>
  <r>
    <x v="13"/>
    <x v="2"/>
    <x v="34"/>
    <n v="161"/>
  </r>
  <r>
    <x v="14"/>
    <x v="2"/>
    <x v="34"/>
    <n v="167"/>
  </r>
  <r>
    <x v="4"/>
    <x v="2"/>
    <x v="35"/>
    <n v="62"/>
  </r>
  <r>
    <x v="5"/>
    <x v="2"/>
    <x v="35"/>
    <n v="45"/>
  </r>
  <r>
    <x v="6"/>
    <x v="2"/>
    <x v="35"/>
    <n v="78"/>
  </r>
  <r>
    <x v="8"/>
    <x v="2"/>
    <x v="35"/>
    <n v="47"/>
  </r>
  <r>
    <x v="9"/>
    <x v="2"/>
    <x v="35"/>
    <n v="98"/>
  </r>
  <r>
    <x v="10"/>
    <x v="2"/>
    <x v="35"/>
    <n v="107"/>
  </r>
  <r>
    <x v="11"/>
    <x v="2"/>
    <x v="35"/>
    <n v="163"/>
  </r>
  <r>
    <x v="12"/>
    <x v="2"/>
    <x v="35"/>
    <n v="287"/>
  </r>
  <r>
    <x v="13"/>
    <x v="2"/>
    <x v="35"/>
    <n v="65"/>
  </r>
  <r>
    <x v="14"/>
    <x v="2"/>
    <x v="35"/>
    <n v="77"/>
  </r>
  <r>
    <x v="4"/>
    <x v="3"/>
    <x v="36"/>
    <n v="166"/>
  </r>
  <r>
    <x v="5"/>
    <x v="3"/>
    <x v="36"/>
    <n v="156"/>
  </r>
  <r>
    <x v="6"/>
    <x v="3"/>
    <x v="36"/>
    <n v="129"/>
  </r>
  <r>
    <x v="7"/>
    <x v="3"/>
    <x v="36"/>
    <n v="152"/>
  </r>
  <r>
    <x v="8"/>
    <x v="3"/>
    <x v="36"/>
    <n v="132"/>
  </r>
  <r>
    <x v="9"/>
    <x v="3"/>
    <x v="36"/>
    <n v="154"/>
  </r>
  <r>
    <x v="10"/>
    <x v="3"/>
    <x v="36"/>
    <n v="138"/>
  </r>
  <r>
    <x v="11"/>
    <x v="3"/>
    <x v="36"/>
    <n v="114"/>
  </r>
  <r>
    <x v="12"/>
    <x v="3"/>
    <x v="36"/>
    <n v="183"/>
  </r>
  <r>
    <x v="13"/>
    <x v="3"/>
    <x v="36"/>
    <n v="118"/>
  </r>
  <r>
    <x v="14"/>
    <x v="3"/>
    <x v="36"/>
    <n v="167"/>
  </r>
  <r>
    <x v="10"/>
    <x v="3"/>
    <x v="37"/>
    <m/>
  </r>
  <r>
    <x v="11"/>
    <x v="3"/>
    <x v="37"/>
    <m/>
  </r>
  <r>
    <x v="12"/>
    <x v="3"/>
    <x v="37"/>
    <m/>
  </r>
  <r>
    <x v="13"/>
    <x v="3"/>
    <x v="37"/>
    <m/>
  </r>
  <r>
    <x v="14"/>
    <x v="3"/>
    <x v="37"/>
    <m/>
  </r>
  <r>
    <x v="4"/>
    <x v="3"/>
    <x v="38"/>
    <n v="219"/>
  </r>
  <r>
    <x v="5"/>
    <x v="3"/>
    <x v="38"/>
    <n v="244"/>
  </r>
  <r>
    <x v="6"/>
    <x v="3"/>
    <x v="38"/>
    <n v="233"/>
  </r>
  <r>
    <x v="7"/>
    <x v="3"/>
    <x v="38"/>
    <n v="223"/>
  </r>
  <r>
    <x v="8"/>
    <x v="3"/>
    <x v="38"/>
    <n v="193"/>
  </r>
  <r>
    <x v="9"/>
    <x v="3"/>
    <x v="38"/>
    <n v="223"/>
  </r>
  <r>
    <x v="10"/>
    <x v="3"/>
    <x v="38"/>
    <n v="205"/>
  </r>
  <r>
    <x v="11"/>
    <x v="3"/>
    <x v="38"/>
    <n v="270"/>
  </r>
  <r>
    <x v="12"/>
    <x v="3"/>
    <x v="38"/>
    <n v="302"/>
  </r>
  <r>
    <x v="13"/>
    <x v="3"/>
    <x v="38"/>
    <n v="260"/>
  </r>
  <r>
    <x v="14"/>
    <x v="3"/>
    <x v="38"/>
    <n v="314"/>
  </r>
  <r>
    <x v="4"/>
    <x v="3"/>
    <x v="39"/>
    <n v="287"/>
  </r>
  <r>
    <x v="5"/>
    <x v="3"/>
    <x v="39"/>
    <n v="272"/>
  </r>
  <r>
    <x v="6"/>
    <x v="3"/>
    <x v="39"/>
    <n v="267"/>
  </r>
  <r>
    <x v="7"/>
    <x v="3"/>
    <x v="39"/>
    <n v="253"/>
  </r>
  <r>
    <x v="8"/>
    <x v="3"/>
    <x v="39"/>
    <n v="268"/>
  </r>
  <r>
    <x v="10"/>
    <x v="3"/>
    <x v="39"/>
    <n v="276"/>
  </r>
  <r>
    <x v="11"/>
    <x v="3"/>
    <x v="39"/>
    <n v="282"/>
  </r>
  <r>
    <x v="12"/>
    <x v="3"/>
    <x v="39"/>
    <n v="274"/>
  </r>
  <r>
    <x v="13"/>
    <x v="3"/>
    <x v="39"/>
    <n v="244"/>
  </r>
  <r>
    <x v="14"/>
    <x v="3"/>
    <x v="39"/>
    <n v="271"/>
  </r>
  <r>
    <x v="4"/>
    <x v="3"/>
    <x v="40"/>
    <n v="147"/>
  </r>
  <r>
    <x v="5"/>
    <x v="3"/>
    <x v="40"/>
    <n v="149"/>
  </r>
  <r>
    <x v="6"/>
    <x v="3"/>
    <x v="40"/>
    <n v="137"/>
  </r>
  <r>
    <x v="7"/>
    <x v="3"/>
    <x v="40"/>
    <n v="141"/>
  </r>
  <r>
    <x v="8"/>
    <x v="3"/>
    <x v="40"/>
    <n v="166"/>
  </r>
  <r>
    <x v="9"/>
    <x v="3"/>
    <x v="40"/>
    <n v="151"/>
  </r>
  <r>
    <x v="10"/>
    <x v="3"/>
    <x v="40"/>
    <n v="171"/>
  </r>
  <r>
    <x v="11"/>
    <x v="3"/>
    <x v="40"/>
    <n v="195"/>
  </r>
  <r>
    <x v="12"/>
    <x v="3"/>
    <x v="40"/>
    <n v="207"/>
  </r>
  <r>
    <x v="13"/>
    <x v="3"/>
    <x v="40"/>
    <n v="165"/>
  </r>
  <r>
    <x v="14"/>
    <x v="3"/>
    <x v="40"/>
    <n v="719"/>
  </r>
  <r>
    <x v="4"/>
    <x v="3"/>
    <x v="41"/>
    <n v="214"/>
  </r>
  <r>
    <x v="5"/>
    <x v="3"/>
    <x v="41"/>
    <n v="199"/>
  </r>
  <r>
    <x v="6"/>
    <x v="3"/>
    <x v="41"/>
    <n v="224"/>
  </r>
  <r>
    <x v="8"/>
    <x v="3"/>
    <x v="41"/>
    <n v="182"/>
  </r>
  <r>
    <x v="9"/>
    <x v="3"/>
    <x v="41"/>
    <n v="155"/>
  </r>
  <r>
    <x v="10"/>
    <x v="3"/>
    <x v="41"/>
    <n v="212"/>
  </r>
  <r>
    <x v="11"/>
    <x v="3"/>
    <x v="41"/>
    <n v="203"/>
  </r>
  <r>
    <x v="12"/>
    <x v="3"/>
    <x v="41"/>
    <n v="227"/>
  </r>
  <r>
    <x v="13"/>
    <x v="3"/>
    <x v="41"/>
    <n v="148"/>
  </r>
  <r>
    <x v="14"/>
    <x v="3"/>
    <x v="41"/>
    <n v="212"/>
  </r>
  <r>
    <x v="4"/>
    <x v="3"/>
    <x v="42"/>
    <n v="414"/>
  </r>
  <r>
    <x v="5"/>
    <x v="3"/>
    <x v="42"/>
    <n v="422"/>
  </r>
  <r>
    <x v="6"/>
    <x v="3"/>
    <x v="42"/>
    <n v="476"/>
  </r>
  <r>
    <x v="7"/>
    <x v="3"/>
    <x v="42"/>
    <n v="496"/>
  </r>
  <r>
    <x v="8"/>
    <x v="3"/>
    <x v="42"/>
    <n v="479"/>
  </r>
  <r>
    <x v="9"/>
    <x v="3"/>
    <x v="42"/>
    <n v="489"/>
  </r>
  <r>
    <x v="10"/>
    <x v="3"/>
    <x v="42"/>
    <n v="526"/>
  </r>
  <r>
    <x v="11"/>
    <x v="3"/>
    <x v="42"/>
    <n v="540"/>
  </r>
  <r>
    <x v="12"/>
    <x v="3"/>
    <x v="42"/>
    <n v="484"/>
  </r>
  <r>
    <x v="13"/>
    <x v="3"/>
    <x v="42"/>
    <n v="556"/>
  </r>
  <r>
    <x v="14"/>
    <x v="3"/>
    <x v="42"/>
    <n v="581"/>
  </r>
  <r>
    <x v="4"/>
    <x v="3"/>
    <x v="43"/>
    <n v="453"/>
  </r>
  <r>
    <x v="5"/>
    <x v="3"/>
    <x v="43"/>
    <n v="402"/>
  </r>
  <r>
    <x v="6"/>
    <x v="3"/>
    <x v="43"/>
    <n v="442"/>
  </r>
  <r>
    <x v="7"/>
    <x v="3"/>
    <x v="43"/>
    <n v="440"/>
  </r>
  <r>
    <x v="8"/>
    <x v="3"/>
    <x v="43"/>
    <n v="423"/>
  </r>
  <r>
    <x v="9"/>
    <x v="3"/>
    <x v="43"/>
    <n v="423"/>
  </r>
  <r>
    <x v="10"/>
    <x v="3"/>
    <x v="43"/>
    <n v="367"/>
  </r>
  <r>
    <x v="11"/>
    <x v="3"/>
    <x v="43"/>
    <n v="337"/>
  </r>
  <r>
    <x v="12"/>
    <x v="3"/>
    <x v="43"/>
    <n v="338"/>
  </r>
  <r>
    <x v="13"/>
    <x v="3"/>
    <x v="43"/>
    <n v="431"/>
  </r>
  <r>
    <x v="14"/>
    <x v="3"/>
    <x v="43"/>
    <n v="399"/>
  </r>
  <r>
    <x v="4"/>
    <x v="3"/>
    <x v="44"/>
    <n v="164"/>
  </r>
  <r>
    <x v="5"/>
    <x v="3"/>
    <x v="44"/>
    <n v="154"/>
  </r>
  <r>
    <x v="6"/>
    <x v="3"/>
    <x v="44"/>
    <n v="183"/>
  </r>
  <r>
    <x v="7"/>
    <x v="3"/>
    <x v="44"/>
    <n v="194"/>
  </r>
  <r>
    <x v="8"/>
    <x v="3"/>
    <x v="44"/>
    <n v="190"/>
  </r>
  <r>
    <x v="9"/>
    <x v="3"/>
    <x v="44"/>
    <n v="187"/>
  </r>
  <r>
    <x v="10"/>
    <x v="3"/>
    <x v="44"/>
    <n v="189"/>
  </r>
  <r>
    <x v="11"/>
    <x v="3"/>
    <x v="44"/>
    <n v="193"/>
  </r>
  <r>
    <x v="12"/>
    <x v="3"/>
    <x v="44"/>
    <n v="190"/>
  </r>
  <r>
    <x v="13"/>
    <x v="3"/>
    <x v="44"/>
    <n v="174"/>
  </r>
  <r>
    <x v="14"/>
    <x v="3"/>
    <x v="44"/>
    <n v="151"/>
  </r>
  <r>
    <x v="4"/>
    <x v="3"/>
    <x v="45"/>
    <n v="143"/>
  </r>
  <r>
    <x v="5"/>
    <x v="3"/>
    <x v="45"/>
    <n v="165"/>
  </r>
  <r>
    <x v="6"/>
    <x v="3"/>
    <x v="45"/>
    <n v="170"/>
  </r>
  <r>
    <x v="7"/>
    <x v="3"/>
    <x v="45"/>
    <n v="154"/>
  </r>
  <r>
    <x v="8"/>
    <x v="3"/>
    <x v="45"/>
    <n v="166"/>
  </r>
  <r>
    <x v="9"/>
    <x v="3"/>
    <x v="45"/>
    <n v="137"/>
  </r>
  <r>
    <x v="10"/>
    <x v="3"/>
    <x v="45"/>
    <n v="131"/>
  </r>
  <r>
    <x v="11"/>
    <x v="3"/>
    <x v="45"/>
    <n v="143"/>
  </r>
  <r>
    <x v="12"/>
    <x v="3"/>
    <x v="45"/>
    <n v="196"/>
  </r>
  <r>
    <x v="13"/>
    <x v="3"/>
    <x v="45"/>
    <n v="183"/>
  </r>
  <r>
    <x v="14"/>
    <x v="3"/>
    <x v="45"/>
    <n v="169"/>
  </r>
  <r>
    <x v="4"/>
    <x v="3"/>
    <x v="46"/>
    <n v="780"/>
  </r>
  <r>
    <x v="5"/>
    <x v="3"/>
    <x v="46"/>
    <n v="567"/>
  </r>
  <r>
    <x v="6"/>
    <x v="3"/>
    <x v="46"/>
    <n v="674"/>
  </r>
  <r>
    <x v="7"/>
    <x v="3"/>
    <x v="46"/>
    <n v="781"/>
  </r>
  <r>
    <x v="8"/>
    <x v="3"/>
    <x v="46"/>
    <n v="917"/>
  </r>
  <r>
    <x v="9"/>
    <x v="3"/>
    <x v="46"/>
    <n v="820"/>
  </r>
  <r>
    <x v="10"/>
    <x v="3"/>
    <x v="46"/>
    <n v="934"/>
  </r>
  <r>
    <x v="11"/>
    <x v="3"/>
    <x v="46"/>
    <n v="881"/>
  </r>
  <r>
    <x v="12"/>
    <x v="3"/>
    <x v="46"/>
    <n v="1092"/>
  </r>
  <r>
    <x v="13"/>
    <x v="3"/>
    <x v="46"/>
    <n v="1104"/>
  </r>
  <r>
    <x v="14"/>
    <x v="3"/>
    <x v="46"/>
    <n v="1034"/>
  </r>
  <r>
    <x v="4"/>
    <x v="3"/>
    <x v="47"/>
    <n v="231"/>
  </r>
  <r>
    <x v="5"/>
    <x v="3"/>
    <x v="47"/>
    <n v="247"/>
  </r>
  <r>
    <x v="6"/>
    <x v="3"/>
    <x v="47"/>
    <n v="280"/>
  </r>
  <r>
    <x v="7"/>
    <x v="3"/>
    <x v="47"/>
    <n v="318"/>
  </r>
  <r>
    <x v="8"/>
    <x v="3"/>
    <x v="47"/>
    <n v="313"/>
  </r>
  <r>
    <x v="9"/>
    <x v="3"/>
    <x v="47"/>
    <n v="322"/>
  </r>
  <r>
    <x v="10"/>
    <x v="3"/>
    <x v="47"/>
    <n v="290"/>
  </r>
  <r>
    <x v="11"/>
    <x v="3"/>
    <x v="47"/>
    <n v="294"/>
  </r>
  <r>
    <x v="12"/>
    <x v="3"/>
    <x v="47"/>
    <n v="316"/>
  </r>
  <r>
    <x v="13"/>
    <x v="3"/>
    <x v="47"/>
    <n v="340"/>
  </r>
  <r>
    <x v="14"/>
    <x v="3"/>
    <x v="47"/>
    <n v="338"/>
  </r>
  <r>
    <x v="4"/>
    <x v="3"/>
    <x v="48"/>
    <n v="161"/>
  </r>
  <r>
    <x v="5"/>
    <x v="3"/>
    <x v="48"/>
    <n v="170"/>
  </r>
  <r>
    <x v="6"/>
    <x v="3"/>
    <x v="48"/>
    <n v="150"/>
  </r>
  <r>
    <x v="7"/>
    <x v="3"/>
    <x v="48"/>
    <n v="194"/>
  </r>
  <r>
    <x v="8"/>
    <x v="3"/>
    <x v="48"/>
    <n v="220"/>
  </r>
  <r>
    <x v="9"/>
    <x v="3"/>
    <x v="48"/>
    <n v="204"/>
  </r>
  <r>
    <x v="10"/>
    <x v="3"/>
    <x v="48"/>
    <n v="186"/>
  </r>
  <r>
    <x v="11"/>
    <x v="3"/>
    <x v="48"/>
    <n v="178"/>
  </r>
  <r>
    <x v="12"/>
    <x v="3"/>
    <x v="48"/>
    <n v="199"/>
  </r>
  <r>
    <x v="13"/>
    <x v="3"/>
    <x v="48"/>
    <n v="218"/>
  </r>
  <r>
    <x v="14"/>
    <x v="3"/>
    <x v="48"/>
    <n v="207"/>
  </r>
  <r>
    <x v="4"/>
    <x v="3"/>
    <x v="49"/>
    <n v="430"/>
  </r>
  <r>
    <x v="5"/>
    <x v="3"/>
    <x v="49"/>
    <n v="408"/>
  </r>
  <r>
    <x v="6"/>
    <x v="3"/>
    <x v="49"/>
    <n v="426"/>
  </r>
  <r>
    <x v="7"/>
    <x v="3"/>
    <x v="49"/>
    <n v="401"/>
  </r>
  <r>
    <x v="8"/>
    <x v="3"/>
    <x v="49"/>
    <n v="376"/>
  </r>
  <r>
    <x v="9"/>
    <x v="3"/>
    <x v="49"/>
    <n v="359"/>
  </r>
  <r>
    <x v="10"/>
    <x v="3"/>
    <x v="49"/>
    <n v="375"/>
  </r>
  <r>
    <x v="11"/>
    <x v="3"/>
    <x v="49"/>
    <n v="441"/>
  </r>
  <r>
    <x v="12"/>
    <x v="3"/>
    <x v="49"/>
    <n v="419"/>
  </r>
  <r>
    <x v="13"/>
    <x v="3"/>
    <x v="49"/>
    <n v="428"/>
  </r>
  <r>
    <x v="14"/>
    <x v="3"/>
    <x v="49"/>
    <n v="424"/>
  </r>
  <r>
    <x v="4"/>
    <x v="3"/>
    <x v="50"/>
    <n v="148"/>
  </r>
  <r>
    <x v="5"/>
    <x v="3"/>
    <x v="50"/>
    <n v="132"/>
  </r>
  <r>
    <x v="6"/>
    <x v="3"/>
    <x v="50"/>
    <n v="149"/>
  </r>
  <r>
    <x v="7"/>
    <x v="3"/>
    <x v="50"/>
    <n v="94"/>
  </r>
  <r>
    <x v="8"/>
    <x v="3"/>
    <x v="50"/>
    <n v="116"/>
  </r>
  <r>
    <x v="9"/>
    <x v="3"/>
    <x v="50"/>
    <n v="131"/>
  </r>
  <r>
    <x v="10"/>
    <x v="3"/>
    <x v="50"/>
    <n v="188"/>
  </r>
  <r>
    <x v="11"/>
    <x v="3"/>
    <x v="50"/>
    <n v="167"/>
  </r>
  <r>
    <x v="12"/>
    <x v="3"/>
    <x v="50"/>
    <n v="252"/>
  </r>
  <r>
    <x v="13"/>
    <x v="3"/>
    <x v="50"/>
    <n v="202"/>
  </r>
  <r>
    <x v="14"/>
    <x v="3"/>
    <x v="50"/>
    <n v="149"/>
  </r>
  <r>
    <x v="4"/>
    <x v="3"/>
    <x v="51"/>
    <n v="270"/>
  </r>
  <r>
    <x v="5"/>
    <x v="3"/>
    <x v="51"/>
    <n v="295"/>
  </r>
  <r>
    <x v="6"/>
    <x v="3"/>
    <x v="51"/>
    <n v="213"/>
  </r>
  <r>
    <x v="7"/>
    <x v="3"/>
    <x v="51"/>
    <n v="244"/>
  </r>
  <r>
    <x v="8"/>
    <x v="3"/>
    <x v="51"/>
    <n v="305"/>
  </r>
  <r>
    <x v="9"/>
    <x v="3"/>
    <x v="51"/>
    <n v="370"/>
  </r>
  <r>
    <x v="10"/>
    <x v="3"/>
    <x v="51"/>
    <n v="396"/>
  </r>
  <r>
    <x v="11"/>
    <x v="3"/>
    <x v="51"/>
    <n v="367"/>
  </r>
  <r>
    <x v="12"/>
    <x v="3"/>
    <x v="51"/>
    <n v="358"/>
  </r>
  <r>
    <x v="13"/>
    <x v="3"/>
    <x v="51"/>
    <n v="417"/>
  </r>
  <r>
    <x v="14"/>
    <x v="3"/>
    <x v="51"/>
    <n v="370"/>
  </r>
  <r>
    <x v="4"/>
    <x v="3"/>
    <x v="52"/>
    <n v="1405"/>
  </r>
  <r>
    <x v="5"/>
    <x v="3"/>
    <x v="52"/>
    <n v="1330"/>
  </r>
  <r>
    <x v="6"/>
    <x v="3"/>
    <x v="52"/>
    <n v="1409"/>
  </r>
  <r>
    <x v="7"/>
    <x v="3"/>
    <x v="52"/>
    <n v="1377"/>
  </r>
  <r>
    <x v="8"/>
    <x v="3"/>
    <x v="52"/>
    <n v="1456"/>
  </r>
  <r>
    <x v="9"/>
    <x v="3"/>
    <x v="52"/>
    <n v="1521"/>
  </r>
  <r>
    <x v="10"/>
    <x v="3"/>
    <x v="52"/>
    <n v="1564"/>
  </r>
  <r>
    <x v="11"/>
    <x v="3"/>
    <x v="52"/>
    <n v="1602"/>
  </r>
  <r>
    <x v="12"/>
    <x v="3"/>
    <x v="52"/>
    <n v="1627"/>
  </r>
  <r>
    <x v="13"/>
    <x v="3"/>
    <x v="52"/>
    <n v="1720"/>
  </r>
  <r>
    <x v="14"/>
    <x v="3"/>
    <x v="52"/>
    <n v="1726"/>
  </r>
  <r>
    <x v="4"/>
    <x v="3"/>
    <x v="53"/>
    <n v="455"/>
  </r>
  <r>
    <x v="5"/>
    <x v="3"/>
    <x v="53"/>
    <n v="475"/>
  </r>
  <r>
    <x v="6"/>
    <x v="3"/>
    <x v="53"/>
    <n v="281"/>
  </r>
  <r>
    <x v="7"/>
    <x v="3"/>
    <x v="53"/>
    <n v="309"/>
  </r>
  <r>
    <x v="8"/>
    <x v="3"/>
    <x v="53"/>
    <n v="310"/>
  </r>
  <r>
    <x v="9"/>
    <x v="3"/>
    <x v="53"/>
    <n v="305"/>
  </r>
  <r>
    <x v="10"/>
    <x v="3"/>
    <x v="53"/>
    <n v="387"/>
  </r>
  <r>
    <x v="11"/>
    <x v="3"/>
    <x v="53"/>
    <n v="360"/>
  </r>
  <r>
    <x v="12"/>
    <x v="3"/>
    <x v="53"/>
    <n v="400"/>
  </r>
  <r>
    <x v="13"/>
    <x v="3"/>
    <x v="53"/>
    <n v="418"/>
  </r>
  <r>
    <x v="14"/>
    <x v="3"/>
    <x v="53"/>
    <n v="365"/>
  </r>
  <r>
    <x v="4"/>
    <x v="3"/>
    <x v="54"/>
    <n v="134"/>
  </r>
  <r>
    <x v="5"/>
    <x v="3"/>
    <x v="54"/>
    <n v="128"/>
  </r>
  <r>
    <x v="6"/>
    <x v="3"/>
    <x v="54"/>
    <n v="122"/>
  </r>
  <r>
    <x v="7"/>
    <x v="3"/>
    <x v="54"/>
    <n v="139"/>
  </r>
  <r>
    <x v="8"/>
    <x v="3"/>
    <x v="54"/>
    <n v="157"/>
  </r>
  <r>
    <x v="9"/>
    <x v="3"/>
    <x v="54"/>
    <n v="203"/>
  </r>
  <r>
    <x v="10"/>
    <x v="3"/>
    <x v="54"/>
    <n v="225"/>
  </r>
  <r>
    <x v="11"/>
    <x v="3"/>
    <x v="54"/>
    <n v="225"/>
  </r>
  <r>
    <x v="12"/>
    <x v="3"/>
    <x v="54"/>
    <n v="223"/>
  </r>
  <r>
    <x v="13"/>
    <x v="3"/>
    <x v="54"/>
    <n v="231"/>
  </r>
  <r>
    <x v="14"/>
    <x v="3"/>
    <x v="54"/>
    <n v="177"/>
  </r>
  <r>
    <x v="4"/>
    <x v="3"/>
    <x v="55"/>
    <n v="1398"/>
  </r>
  <r>
    <x v="5"/>
    <x v="3"/>
    <x v="55"/>
    <n v="1264"/>
  </r>
  <r>
    <x v="6"/>
    <x v="3"/>
    <x v="55"/>
    <n v="1330"/>
  </r>
  <r>
    <x v="7"/>
    <x v="3"/>
    <x v="55"/>
    <n v="1349"/>
  </r>
  <r>
    <x v="8"/>
    <x v="3"/>
    <x v="55"/>
    <n v="1440"/>
  </r>
  <r>
    <x v="9"/>
    <x v="3"/>
    <x v="55"/>
    <n v="1376"/>
  </r>
  <r>
    <x v="10"/>
    <x v="3"/>
    <x v="55"/>
    <n v="1461"/>
  </r>
  <r>
    <x v="11"/>
    <x v="3"/>
    <x v="55"/>
    <n v="1328"/>
  </r>
  <r>
    <x v="12"/>
    <x v="3"/>
    <x v="55"/>
    <n v="1417"/>
  </r>
  <r>
    <x v="13"/>
    <x v="3"/>
    <x v="55"/>
    <n v="1501"/>
  </r>
  <r>
    <x v="14"/>
    <x v="3"/>
    <x v="55"/>
    <n v="1624"/>
  </r>
  <r>
    <x v="4"/>
    <x v="3"/>
    <x v="56"/>
    <n v="416"/>
  </r>
  <r>
    <x v="5"/>
    <x v="3"/>
    <x v="56"/>
    <n v="388"/>
  </r>
  <r>
    <x v="6"/>
    <x v="3"/>
    <x v="56"/>
    <n v="381"/>
  </r>
  <r>
    <x v="7"/>
    <x v="3"/>
    <x v="56"/>
    <n v="419"/>
  </r>
  <r>
    <x v="8"/>
    <x v="3"/>
    <x v="56"/>
    <n v="452"/>
  </r>
  <r>
    <x v="9"/>
    <x v="3"/>
    <x v="56"/>
    <n v="393"/>
  </r>
  <r>
    <x v="10"/>
    <x v="3"/>
    <x v="56"/>
    <n v="418"/>
  </r>
  <r>
    <x v="11"/>
    <x v="3"/>
    <x v="56"/>
    <n v="489"/>
  </r>
  <r>
    <x v="12"/>
    <x v="3"/>
    <x v="56"/>
    <n v="411"/>
  </r>
  <r>
    <x v="13"/>
    <x v="3"/>
    <x v="56"/>
    <n v="479"/>
  </r>
  <r>
    <x v="14"/>
    <x v="3"/>
    <x v="56"/>
    <n v="412"/>
  </r>
  <r>
    <x v="4"/>
    <x v="3"/>
    <x v="57"/>
    <n v="173"/>
  </r>
  <r>
    <x v="5"/>
    <x v="3"/>
    <x v="57"/>
    <n v="248"/>
  </r>
  <r>
    <x v="6"/>
    <x v="3"/>
    <x v="57"/>
    <n v="207"/>
  </r>
  <r>
    <x v="7"/>
    <x v="3"/>
    <x v="57"/>
    <n v="240"/>
  </r>
  <r>
    <x v="8"/>
    <x v="3"/>
    <x v="57"/>
    <n v="231"/>
  </r>
  <r>
    <x v="9"/>
    <x v="3"/>
    <x v="57"/>
    <n v="270"/>
  </r>
  <r>
    <x v="10"/>
    <x v="3"/>
    <x v="57"/>
    <n v="279"/>
  </r>
  <r>
    <x v="11"/>
    <x v="3"/>
    <x v="57"/>
    <n v="224"/>
  </r>
  <r>
    <x v="12"/>
    <x v="3"/>
    <x v="57"/>
    <n v="244"/>
  </r>
  <r>
    <x v="13"/>
    <x v="3"/>
    <x v="57"/>
    <n v="310"/>
  </r>
  <r>
    <x v="14"/>
    <x v="3"/>
    <x v="57"/>
    <n v="322"/>
  </r>
  <r>
    <x v="4"/>
    <x v="3"/>
    <x v="58"/>
    <n v="302"/>
  </r>
  <r>
    <x v="5"/>
    <x v="3"/>
    <x v="58"/>
    <n v="242"/>
  </r>
  <r>
    <x v="6"/>
    <x v="3"/>
    <x v="58"/>
    <n v="342"/>
  </r>
  <r>
    <x v="7"/>
    <x v="3"/>
    <x v="58"/>
    <n v="357"/>
  </r>
  <r>
    <x v="8"/>
    <x v="3"/>
    <x v="58"/>
    <n v="328"/>
  </r>
  <r>
    <x v="9"/>
    <x v="3"/>
    <x v="58"/>
    <n v="302"/>
  </r>
  <r>
    <x v="10"/>
    <x v="3"/>
    <x v="58"/>
    <n v="248"/>
  </r>
  <r>
    <x v="11"/>
    <x v="3"/>
    <x v="58"/>
    <n v="287"/>
  </r>
  <r>
    <x v="12"/>
    <x v="3"/>
    <x v="58"/>
    <n v="265"/>
  </r>
  <r>
    <x v="13"/>
    <x v="3"/>
    <x v="58"/>
    <n v="282"/>
  </r>
  <r>
    <x v="14"/>
    <x v="3"/>
    <x v="58"/>
    <n v="268"/>
  </r>
  <r>
    <x v="5"/>
    <x v="3"/>
    <x v="59"/>
    <n v="207"/>
  </r>
  <r>
    <x v="6"/>
    <x v="3"/>
    <x v="59"/>
    <n v="241"/>
  </r>
  <r>
    <x v="7"/>
    <x v="3"/>
    <x v="59"/>
    <n v="203"/>
  </r>
  <r>
    <x v="8"/>
    <x v="3"/>
    <x v="59"/>
    <n v="195"/>
  </r>
  <r>
    <x v="9"/>
    <x v="3"/>
    <x v="59"/>
    <n v="230"/>
  </r>
  <r>
    <x v="10"/>
    <x v="3"/>
    <x v="59"/>
    <n v="195"/>
  </r>
  <r>
    <x v="11"/>
    <x v="3"/>
    <x v="59"/>
    <n v="185"/>
  </r>
  <r>
    <x v="12"/>
    <x v="3"/>
    <x v="59"/>
    <n v="151"/>
  </r>
  <r>
    <x v="13"/>
    <x v="3"/>
    <x v="59"/>
    <n v="242"/>
  </r>
  <r>
    <x v="14"/>
    <x v="3"/>
    <x v="59"/>
    <n v="2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4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S69" firstHeaderRow="1" firstDataRow="2" firstDataCol="1"/>
  <pivotFields count="4">
    <pivotField axis="axisCol" showAll="0">
      <items count="18">
        <item x="0"/>
        <item x="1"/>
        <item x="15"/>
        <item x="1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61">
        <item x="36"/>
        <item x="37"/>
        <item x="38"/>
        <item x="39"/>
        <item x="40"/>
        <item x="34"/>
        <item x="0"/>
        <item x="41"/>
        <item x="42"/>
        <item x="1"/>
        <item x="43"/>
        <item x="44"/>
        <item x="45"/>
        <item x="21"/>
        <item x="2"/>
        <item x="22"/>
        <item x="46"/>
        <item x="3"/>
        <item x="47"/>
        <item x="4"/>
        <item x="5"/>
        <item x="6"/>
        <item x="7"/>
        <item x="8"/>
        <item x="9"/>
        <item x="48"/>
        <item x="23"/>
        <item x="24"/>
        <item x="10"/>
        <item x="25"/>
        <item x="49"/>
        <item x="26"/>
        <item x="11"/>
        <item x="12"/>
        <item x="27"/>
        <item x="13"/>
        <item x="50"/>
        <item x="51"/>
        <item x="52"/>
        <item x="28"/>
        <item x="53"/>
        <item x="14"/>
        <item x="15"/>
        <item x="16"/>
        <item x="17"/>
        <item x="18"/>
        <item x="19"/>
        <item x="54"/>
        <item x="20"/>
        <item x="29"/>
        <item x="30"/>
        <item x="31"/>
        <item x="32"/>
        <item x="33"/>
        <item x="55"/>
        <item x="56"/>
        <item x="35"/>
        <item x="57"/>
        <item x="58"/>
        <item x="59"/>
        <item t="default"/>
      </items>
    </pivotField>
    <pivotField dataField="1" showAll="0"/>
  </pivotFields>
  <rowFields count="2">
    <field x="1"/>
    <field x="2"/>
  </rowFields>
  <rowItems count="65">
    <i>
      <x/>
    </i>
    <i r="1">
      <x v="6"/>
    </i>
    <i r="1">
      <x v="9"/>
    </i>
    <i r="1">
      <x v="14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32"/>
    </i>
    <i r="1">
      <x v="33"/>
    </i>
    <i r="1">
      <x v="35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8"/>
    </i>
    <i>
      <x v="1"/>
    </i>
    <i r="1">
      <x v="13"/>
    </i>
    <i r="1">
      <x v="15"/>
    </i>
    <i r="1">
      <x v="26"/>
    </i>
    <i r="1">
      <x v="27"/>
    </i>
    <i r="1">
      <x v="29"/>
    </i>
    <i r="1">
      <x v="31"/>
    </i>
    <i r="1">
      <x v="34"/>
    </i>
    <i r="1">
      <x v="39"/>
    </i>
    <i r="1">
      <x v="49"/>
    </i>
    <i r="1">
      <x v="50"/>
    </i>
    <i r="1">
      <x v="51"/>
    </i>
    <i r="1">
      <x v="52"/>
    </i>
    <i r="1">
      <x v="53"/>
    </i>
    <i>
      <x v="2"/>
    </i>
    <i r="1">
      <x v="5"/>
    </i>
    <i r="1">
      <x v="56"/>
    </i>
    <i>
      <x v="3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5"/>
    </i>
    <i r="1">
      <x v="30"/>
    </i>
    <i r="1">
      <x v="36"/>
    </i>
    <i r="1">
      <x v="37"/>
    </i>
    <i r="1">
      <x v="38"/>
    </i>
    <i r="1">
      <x v="40"/>
    </i>
    <i r="1">
      <x v="47"/>
    </i>
    <i r="1">
      <x v="54"/>
    </i>
    <i r="1">
      <x v="55"/>
    </i>
    <i r="1">
      <x v="57"/>
    </i>
    <i r="1">
      <x v="58"/>
    </i>
    <i r="1">
      <x v="59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Sum of TOT_HEADS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D238"/>
  <sheetViews>
    <sheetView tabSelected="1" showOutlineSymbols="0" view="pageBreakPreview" zoomScaleNormal="100" zoomScaleSheetLayoutView="100" workbookViewId="0">
      <selection activeCell="AD103" sqref="AD103"/>
    </sheetView>
  </sheetViews>
  <sheetFormatPr defaultColWidth="15.796875" defaultRowHeight="11.25"/>
  <cols>
    <col min="1" max="1" width="47.796875" style="2" customWidth="1"/>
    <col min="2" max="2" width="8" style="2" customWidth="1"/>
    <col min="3" max="23" width="8" style="2" hidden="1" customWidth="1"/>
    <col min="24" max="24" width="9" style="2" hidden="1" customWidth="1"/>
    <col min="25" max="25" width="10" style="2" customWidth="1"/>
    <col min="26" max="29" width="9" style="2" customWidth="1"/>
    <col min="30" max="30" width="9.59765625" style="2" bestFit="1" customWidth="1"/>
    <col min="31" max="16384" width="15.796875" style="2"/>
  </cols>
  <sheetData>
    <row r="1" spans="1:30" ht="12.75" customHeight="1">
      <c r="A1" s="3" t="s">
        <v>37</v>
      </c>
    </row>
    <row r="2" spans="1:30" ht="12.75" customHeight="1">
      <c r="A2" s="3" t="s">
        <v>39</v>
      </c>
    </row>
    <row r="3" spans="1:30" ht="12.75" customHeight="1">
      <c r="A3" s="3" t="s">
        <v>40</v>
      </c>
    </row>
    <row r="4" spans="1:30" ht="12.75" customHeight="1">
      <c r="A4" s="3" t="s">
        <v>113</v>
      </c>
    </row>
    <row r="5" spans="1:30" ht="12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  <c r="Y5" s="5"/>
      <c r="Z5" s="5"/>
      <c r="AA5" s="5"/>
      <c r="AB5" s="5"/>
      <c r="AC5" s="5"/>
      <c r="AD5" s="5"/>
    </row>
    <row r="6" spans="1:30" ht="12.75" customHeight="1" thickTop="1">
      <c r="A6" s="6"/>
      <c r="B6" s="7"/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9"/>
      <c r="U6" s="10"/>
      <c r="V6" s="9"/>
      <c r="W6" s="10"/>
    </row>
    <row r="7" spans="1:30" ht="12.75" customHeight="1">
      <c r="B7" s="11" t="s">
        <v>0</v>
      </c>
      <c r="C7" s="12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3" t="s">
        <v>0</v>
      </c>
      <c r="R7" s="13" t="s">
        <v>0</v>
      </c>
      <c r="S7" s="13" t="s">
        <v>0</v>
      </c>
      <c r="T7" s="14" t="s">
        <v>0</v>
      </c>
      <c r="U7" s="13" t="s">
        <v>0</v>
      </c>
      <c r="V7" s="14" t="s">
        <v>0</v>
      </c>
      <c r="W7" s="13" t="s">
        <v>0</v>
      </c>
      <c r="X7" s="13" t="s">
        <v>0</v>
      </c>
      <c r="Y7" s="13" t="s">
        <v>0</v>
      </c>
      <c r="Z7" s="13" t="s">
        <v>0</v>
      </c>
      <c r="AA7" s="13" t="s">
        <v>0</v>
      </c>
      <c r="AB7" s="13" t="s">
        <v>0</v>
      </c>
      <c r="AC7" s="13" t="s">
        <v>0</v>
      </c>
      <c r="AD7" s="13" t="s">
        <v>0</v>
      </c>
    </row>
    <row r="8" spans="1:30" ht="12.75" customHeight="1">
      <c r="A8" s="4"/>
      <c r="B8" s="11">
        <f>Pivot!L4</f>
        <v>2004</v>
      </c>
      <c r="C8" s="15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1" t="s">
        <v>11</v>
      </c>
      <c r="N8" s="11" t="s">
        <v>12</v>
      </c>
      <c r="O8" s="11" t="s">
        <v>13</v>
      </c>
      <c r="P8" s="11" t="s">
        <v>14</v>
      </c>
      <c r="Q8" s="11" t="s">
        <v>15</v>
      </c>
      <c r="R8" s="11" t="s">
        <v>16</v>
      </c>
      <c r="S8" s="16" t="s">
        <v>17</v>
      </c>
      <c r="T8" s="17" t="s">
        <v>18</v>
      </c>
      <c r="U8" s="16" t="s">
        <v>19</v>
      </c>
      <c r="V8" s="17" t="s">
        <v>20</v>
      </c>
      <c r="W8" s="16">
        <v>2002</v>
      </c>
      <c r="X8" s="18">
        <v>2003</v>
      </c>
      <c r="Y8" s="18">
        <f>Pivot!M4</f>
        <v>2005</v>
      </c>
      <c r="Z8" s="18">
        <f>Pivot!N4</f>
        <v>2006</v>
      </c>
      <c r="AA8" s="18">
        <f>Pivot!O4</f>
        <v>2007</v>
      </c>
      <c r="AB8" s="18">
        <f>Pivot!P4</f>
        <v>2008</v>
      </c>
      <c r="AC8" s="18">
        <f>Pivot!Q4</f>
        <v>2009</v>
      </c>
      <c r="AD8" s="18">
        <f>Pivot!R4</f>
        <v>2010</v>
      </c>
    </row>
    <row r="9" spans="1:30" ht="12.75" customHeight="1">
      <c r="A9" s="19"/>
      <c r="B9" s="20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2"/>
      <c r="U9" s="19"/>
      <c r="V9" s="22"/>
      <c r="W9" s="19"/>
    </row>
    <row r="10" spans="1:30" ht="33.75" customHeight="1">
      <c r="A10" s="23" t="s">
        <v>21</v>
      </c>
      <c r="B10" s="4"/>
      <c r="C10" s="24"/>
      <c r="T10" s="25"/>
      <c r="V10" s="25"/>
    </row>
    <row r="11" spans="1:30" ht="12.75" customHeight="1">
      <c r="A11" s="23"/>
      <c r="B11" s="4"/>
      <c r="C11" s="24"/>
      <c r="T11" s="25"/>
      <c r="V11" s="25"/>
    </row>
    <row r="12" spans="1:30" ht="12.75" customHeight="1">
      <c r="A12" s="2" t="str">
        <f>Pivot!A28</f>
        <v>Harris-Stowe State University</v>
      </c>
      <c r="B12" s="26">
        <f>Pivot!L28</f>
        <v>181</v>
      </c>
      <c r="C12" s="27">
        <v>112</v>
      </c>
      <c r="D12" s="1">
        <v>138</v>
      </c>
      <c r="E12" s="1">
        <v>103</v>
      </c>
      <c r="F12" s="1">
        <v>115</v>
      </c>
      <c r="G12" s="1">
        <v>100</v>
      </c>
      <c r="H12" s="1">
        <v>61</v>
      </c>
      <c r="I12" s="1">
        <v>120</v>
      </c>
      <c r="J12" s="1">
        <v>115</v>
      </c>
      <c r="K12" s="1">
        <v>109</v>
      </c>
      <c r="L12" s="2">
        <v>93</v>
      </c>
      <c r="M12" s="1">
        <v>99</v>
      </c>
      <c r="N12" s="2">
        <v>115</v>
      </c>
      <c r="O12" s="1">
        <f>79+5</f>
        <v>84</v>
      </c>
      <c r="P12" s="1">
        <f>78+8</f>
        <v>86</v>
      </c>
      <c r="Q12" s="1">
        <v>83</v>
      </c>
      <c r="R12" s="1">
        <f>94+13</f>
        <v>107</v>
      </c>
      <c r="S12" s="1">
        <f>86+13</f>
        <v>99</v>
      </c>
      <c r="T12" s="28">
        <v>95</v>
      </c>
      <c r="U12" s="3">
        <v>87</v>
      </c>
      <c r="V12" s="28">
        <v>81</v>
      </c>
      <c r="W12" s="1">
        <v>26</v>
      </c>
      <c r="X12" s="1">
        <v>53</v>
      </c>
      <c r="Y12" s="1">
        <f>Pivot!M28</f>
        <v>224</v>
      </c>
      <c r="Z12" s="1">
        <f>Pivot!N28</f>
        <v>346</v>
      </c>
      <c r="AA12" s="1">
        <f>Pivot!O28</f>
        <v>377</v>
      </c>
      <c r="AB12" s="1">
        <f>Pivot!P28</f>
        <v>410</v>
      </c>
      <c r="AC12" s="1">
        <f>Pivot!Q28</f>
        <v>390</v>
      </c>
      <c r="AD12" s="1">
        <f>Pivot!R28</f>
        <v>271</v>
      </c>
    </row>
    <row r="13" spans="1:30" ht="12.75" customHeight="1">
      <c r="A13" s="2" t="str">
        <f>Pivot!A29</f>
        <v>Lincoln University</v>
      </c>
      <c r="B13" s="26">
        <f>Pivot!L29</f>
        <v>601</v>
      </c>
      <c r="C13" s="27">
        <v>372</v>
      </c>
      <c r="D13" s="1">
        <v>339</v>
      </c>
      <c r="E13" s="1">
        <v>402</v>
      </c>
      <c r="F13" s="1">
        <v>484</v>
      </c>
      <c r="G13" s="1">
        <v>276</v>
      </c>
      <c r="H13" s="1">
        <v>286</v>
      </c>
      <c r="I13" s="1">
        <v>373</v>
      </c>
      <c r="J13" s="1">
        <v>461</v>
      </c>
      <c r="K13" s="1">
        <v>495</v>
      </c>
      <c r="L13" s="2">
        <v>615</v>
      </c>
      <c r="M13" s="1">
        <v>581</v>
      </c>
      <c r="N13" s="1">
        <v>574</v>
      </c>
      <c r="O13" s="1">
        <f>329+68</f>
        <v>397</v>
      </c>
      <c r="P13" s="1">
        <f>376+53</f>
        <v>429</v>
      </c>
      <c r="Q13" s="1">
        <f>361+57</f>
        <v>418</v>
      </c>
      <c r="R13" s="1">
        <f>303+37</f>
        <v>340</v>
      </c>
      <c r="S13" s="1">
        <f>396+56</f>
        <v>452</v>
      </c>
      <c r="T13" s="28">
        <f>433+124</f>
        <v>557</v>
      </c>
      <c r="U13" s="1">
        <f>434+100</f>
        <v>534</v>
      </c>
      <c r="V13" s="28">
        <f>343+126</f>
        <v>469</v>
      </c>
      <c r="W13" s="1">
        <f>322+105</f>
        <v>427</v>
      </c>
      <c r="X13" s="1">
        <f>373+108</f>
        <v>481</v>
      </c>
      <c r="Y13" s="1">
        <f>Pivot!M29</f>
        <v>601</v>
      </c>
      <c r="Z13" s="1">
        <f>Pivot!N29</f>
        <v>552</v>
      </c>
      <c r="AA13" s="1">
        <f>Pivot!O29</f>
        <v>578</v>
      </c>
      <c r="AB13" s="1">
        <f>Pivot!P29</f>
        <v>546</v>
      </c>
      <c r="AC13" s="1">
        <f>Pivot!Q29</f>
        <v>704</v>
      </c>
      <c r="AD13" s="1">
        <f>Pivot!R29</f>
        <v>561</v>
      </c>
    </row>
    <row r="14" spans="1:30" ht="12.75" customHeight="1">
      <c r="A14" s="2" t="str">
        <f>Pivot!A30</f>
        <v>Missouri Southern State University</v>
      </c>
      <c r="B14" s="26">
        <f>Pivot!L30</f>
        <v>695</v>
      </c>
      <c r="C14" s="27">
        <v>864</v>
      </c>
      <c r="D14" s="1">
        <v>867</v>
      </c>
      <c r="E14" s="1">
        <v>768</v>
      </c>
      <c r="F14" s="1">
        <v>720</v>
      </c>
      <c r="G14" s="1">
        <v>742</v>
      </c>
      <c r="H14" s="1">
        <v>724</v>
      </c>
      <c r="I14" s="1">
        <v>829</v>
      </c>
      <c r="J14" s="1">
        <v>913</v>
      </c>
      <c r="K14" s="1">
        <v>849</v>
      </c>
      <c r="L14" s="2">
        <v>759</v>
      </c>
      <c r="M14" s="1">
        <v>714</v>
      </c>
      <c r="N14" s="2">
        <v>711</v>
      </c>
      <c r="O14" s="1">
        <f>594+44</f>
        <v>638</v>
      </c>
      <c r="P14" s="1">
        <f>657+66</f>
        <v>723</v>
      </c>
      <c r="Q14" s="1">
        <f>616+68</f>
        <v>684</v>
      </c>
      <c r="R14" s="1">
        <f>612+64</f>
        <v>676</v>
      </c>
      <c r="S14" s="1">
        <f>749+108</f>
        <v>857</v>
      </c>
      <c r="T14" s="28">
        <f>707+106</f>
        <v>813</v>
      </c>
      <c r="U14" s="3">
        <f>661+111</f>
        <v>772</v>
      </c>
      <c r="V14" s="28">
        <f>659+127</f>
        <v>786</v>
      </c>
      <c r="W14" s="1">
        <f>529+86</f>
        <v>615</v>
      </c>
      <c r="X14" s="1">
        <f>486+82</f>
        <v>568</v>
      </c>
      <c r="Y14" s="1">
        <f>Pivot!M30</f>
        <v>786</v>
      </c>
      <c r="Z14" s="1">
        <f>Pivot!N30</f>
        <v>803</v>
      </c>
      <c r="AA14" s="1">
        <f>Pivot!O30</f>
        <v>769</v>
      </c>
      <c r="AB14" s="1">
        <f>Pivot!P30</f>
        <v>727</v>
      </c>
      <c r="AC14" s="1">
        <f>Pivot!Q30</f>
        <v>814</v>
      </c>
      <c r="AD14" s="1">
        <f>Pivot!R30</f>
        <v>849</v>
      </c>
    </row>
    <row r="15" spans="1:30" ht="12.75" customHeight="1">
      <c r="A15" s="2" t="str">
        <f>Pivot!A31</f>
        <v>Missouri State University</v>
      </c>
      <c r="B15" s="26">
        <f>Pivot!L31</f>
        <v>2697</v>
      </c>
      <c r="C15" s="27">
        <v>2522</v>
      </c>
      <c r="D15" s="1">
        <v>2642</v>
      </c>
      <c r="E15" s="1">
        <v>2414</v>
      </c>
      <c r="F15" s="1">
        <v>2602</v>
      </c>
      <c r="G15" s="1">
        <v>2624</v>
      </c>
      <c r="H15" s="1">
        <v>3209</v>
      </c>
      <c r="I15" s="1">
        <v>3462</v>
      </c>
      <c r="J15" s="1">
        <v>3501</v>
      </c>
      <c r="K15" s="1">
        <v>3209</v>
      </c>
      <c r="L15" s="1">
        <v>2897</v>
      </c>
      <c r="M15" s="1">
        <v>2925</v>
      </c>
      <c r="N15" s="1">
        <v>2794</v>
      </c>
      <c r="O15" s="1">
        <f>2550+187</f>
        <v>2737</v>
      </c>
      <c r="P15" s="1">
        <f>2300+180</f>
        <v>2480</v>
      </c>
      <c r="Q15" s="1">
        <f>2270+178</f>
        <v>2448</v>
      </c>
      <c r="R15" s="1">
        <f>2457+256</f>
        <v>2713</v>
      </c>
      <c r="S15" s="1">
        <f>2480+269</f>
        <v>2749</v>
      </c>
      <c r="T15" s="28">
        <f>2329+254</f>
        <v>2583</v>
      </c>
      <c r="U15" s="1">
        <f>2252+247</f>
        <v>2499</v>
      </c>
      <c r="V15" s="28">
        <f>2309+202</f>
        <v>2511</v>
      </c>
      <c r="W15" s="1">
        <f>2467+240</f>
        <v>2707</v>
      </c>
      <c r="X15" s="1">
        <f>2469+206</f>
        <v>2675</v>
      </c>
      <c r="Y15" s="1">
        <f>Pivot!M31</f>
        <v>2630</v>
      </c>
      <c r="Z15" s="1">
        <f>Pivot!N31</f>
        <v>2803</v>
      </c>
      <c r="AA15" s="1">
        <f>Pivot!O31</f>
        <v>2682</v>
      </c>
      <c r="AB15" s="1">
        <f>Pivot!P31</f>
        <v>2585</v>
      </c>
      <c r="AC15" s="1">
        <f>Pivot!Q31</f>
        <v>2629</v>
      </c>
      <c r="AD15" s="1">
        <f>Pivot!R31</f>
        <v>2647</v>
      </c>
    </row>
    <row r="16" spans="1:30" ht="12.75" customHeight="1">
      <c r="A16" s="2" t="str">
        <f>Pivot!A32</f>
        <v>Missouri University of Science and Technology</v>
      </c>
      <c r="B16" s="26">
        <f>Pivot!L32</f>
        <v>839</v>
      </c>
      <c r="C16" s="27">
        <v>1269</v>
      </c>
      <c r="D16" s="1">
        <v>1107</v>
      </c>
      <c r="E16" s="1">
        <v>885</v>
      </c>
      <c r="F16" s="1">
        <v>829</v>
      </c>
      <c r="G16" s="1">
        <v>750</v>
      </c>
      <c r="H16" s="1">
        <v>812</v>
      </c>
      <c r="I16" s="1">
        <v>833</v>
      </c>
      <c r="J16" s="1">
        <v>805</v>
      </c>
      <c r="K16" s="1">
        <v>713</v>
      </c>
      <c r="L16" s="2">
        <v>711</v>
      </c>
      <c r="M16" s="1">
        <v>808</v>
      </c>
      <c r="N16" s="2">
        <v>787</v>
      </c>
      <c r="O16" s="1">
        <f>540+244</f>
        <v>784</v>
      </c>
      <c r="P16" s="1">
        <f>535+272</f>
        <v>807</v>
      </c>
      <c r="Q16" s="1">
        <v>779</v>
      </c>
      <c r="R16" s="1">
        <f>507+186</f>
        <v>693</v>
      </c>
      <c r="S16" s="1">
        <f>496+225</f>
        <v>721</v>
      </c>
      <c r="T16" s="28">
        <f>508+172</f>
        <v>680</v>
      </c>
      <c r="U16" s="1">
        <f>502+172</f>
        <v>674</v>
      </c>
      <c r="V16" s="28">
        <f>530+163</f>
        <v>693</v>
      </c>
      <c r="W16" s="1">
        <f>594+194</f>
        <v>788</v>
      </c>
      <c r="X16" s="1">
        <f>689+182</f>
        <v>871</v>
      </c>
      <c r="Y16" s="1">
        <f>Pivot!M32</f>
        <v>879</v>
      </c>
      <c r="Z16" s="1">
        <f>Pivot!N32</f>
        <v>935</v>
      </c>
      <c r="AA16" s="1">
        <f>Pivot!O32</f>
        <v>1028</v>
      </c>
      <c r="AB16" s="1">
        <f>Pivot!P32</f>
        <v>1038</v>
      </c>
      <c r="AC16" s="1">
        <f>Pivot!Q32</f>
        <v>1104</v>
      </c>
      <c r="AD16" s="1">
        <f>Pivot!R32</f>
        <v>1140</v>
      </c>
    </row>
    <row r="17" spans="1:30" ht="12.75" customHeight="1">
      <c r="A17" s="2" t="str">
        <f>Pivot!A33</f>
        <v>Missouri Western State University</v>
      </c>
      <c r="B17" s="26">
        <f>Pivot!L33</f>
        <v>1020</v>
      </c>
      <c r="C17" s="27">
        <v>741</v>
      </c>
      <c r="D17" s="1">
        <v>746</v>
      </c>
      <c r="E17" s="1">
        <v>675</v>
      </c>
      <c r="F17" s="1">
        <v>604</v>
      </c>
      <c r="G17" s="1">
        <v>527</v>
      </c>
      <c r="H17" s="1">
        <v>630</v>
      </c>
      <c r="I17" s="1">
        <v>674</v>
      </c>
      <c r="J17" s="1">
        <v>696</v>
      </c>
      <c r="K17" s="1">
        <v>778</v>
      </c>
      <c r="L17" s="2">
        <v>809</v>
      </c>
      <c r="M17" s="1">
        <v>795</v>
      </c>
      <c r="N17" s="2">
        <v>848</v>
      </c>
      <c r="O17" s="1">
        <f>873+58</f>
        <v>931</v>
      </c>
      <c r="P17" s="1">
        <f>882+51</f>
        <v>933</v>
      </c>
      <c r="Q17" s="1">
        <f>896+68</f>
        <v>964</v>
      </c>
      <c r="R17" s="1">
        <f>904+91</f>
        <v>995</v>
      </c>
      <c r="S17" s="1">
        <f>905+91</f>
        <v>996</v>
      </c>
      <c r="T17" s="28">
        <f>926+70</f>
        <v>996</v>
      </c>
      <c r="U17" s="3">
        <f>836+80</f>
        <v>916</v>
      </c>
      <c r="V17" s="28">
        <f>1024+76</f>
        <v>1100</v>
      </c>
      <c r="W17" s="1">
        <f>1058+77</f>
        <v>1135</v>
      </c>
      <c r="X17" s="1">
        <f>923+73</f>
        <v>996</v>
      </c>
      <c r="Y17" s="1">
        <f>Pivot!M33</f>
        <v>1009</v>
      </c>
      <c r="Z17" s="1">
        <f>Pivot!N33</f>
        <v>941</v>
      </c>
      <c r="AA17" s="1">
        <f>Pivot!O33</f>
        <v>937</v>
      </c>
      <c r="AB17" s="1">
        <f>Pivot!P33</f>
        <v>959</v>
      </c>
      <c r="AC17" s="1">
        <f>Pivot!Q33</f>
        <v>1004</v>
      </c>
      <c r="AD17" s="1">
        <f>Pivot!R33</f>
        <v>1088</v>
      </c>
    </row>
    <row r="18" spans="1:30" ht="12.75" customHeight="1">
      <c r="A18" s="2" t="str">
        <f>Pivot!A34</f>
        <v>Northwest Missouri State University</v>
      </c>
      <c r="B18" s="26">
        <f>Pivot!L34</f>
        <v>1226</v>
      </c>
      <c r="C18" s="27">
        <v>1249</v>
      </c>
      <c r="D18" s="1">
        <v>1165</v>
      </c>
      <c r="E18" s="1">
        <v>1023</v>
      </c>
      <c r="F18" s="1">
        <v>1072</v>
      </c>
      <c r="G18" s="1">
        <v>989</v>
      </c>
      <c r="H18" s="1">
        <v>1264</v>
      </c>
      <c r="I18" s="1">
        <v>1322</v>
      </c>
      <c r="J18" s="1">
        <v>1414</v>
      </c>
      <c r="K18" s="1">
        <v>1316</v>
      </c>
      <c r="L18" s="1">
        <v>1361</v>
      </c>
      <c r="M18" s="1">
        <v>1214</v>
      </c>
      <c r="N18" s="1">
        <v>1248</v>
      </c>
      <c r="O18" s="1">
        <f>717+567</f>
        <v>1284</v>
      </c>
      <c r="P18" s="1">
        <f>836+427</f>
        <v>1263</v>
      </c>
      <c r="Q18" s="1">
        <f>832+435</f>
        <v>1267</v>
      </c>
      <c r="R18" s="1">
        <f>823+354</f>
        <v>1177</v>
      </c>
      <c r="S18" s="1">
        <f>669+436</f>
        <v>1105</v>
      </c>
      <c r="T18" s="28">
        <f>779+430</f>
        <v>1209</v>
      </c>
      <c r="U18" s="1">
        <f>772+477</f>
        <v>1249</v>
      </c>
      <c r="V18" s="28">
        <f>852+388</f>
        <v>1240</v>
      </c>
      <c r="W18" s="1">
        <f>791+400</f>
        <v>1191</v>
      </c>
      <c r="X18" s="1">
        <f>846+356</f>
        <v>1202</v>
      </c>
      <c r="Y18" s="1">
        <f>Pivot!M34</f>
        <v>1328</v>
      </c>
      <c r="Z18" s="1">
        <f>Pivot!N34</f>
        <v>1267</v>
      </c>
      <c r="AA18" s="1">
        <f>Pivot!O34</f>
        <v>1524</v>
      </c>
      <c r="AB18" s="1">
        <f>Pivot!P34</f>
        <v>1523</v>
      </c>
      <c r="AC18" s="1">
        <f>Pivot!Q34</f>
        <v>1552</v>
      </c>
      <c r="AD18" s="1">
        <f>Pivot!R34</f>
        <v>1456</v>
      </c>
    </row>
    <row r="19" spans="1:30" ht="12.75" customHeight="1">
      <c r="A19" s="2" t="str">
        <f>Pivot!A35</f>
        <v>Southeast Missouri State University</v>
      </c>
      <c r="B19" s="26">
        <f>Pivot!L35</f>
        <v>1392</v>
      </c>
      <c r="C19" s="27">
        <v>1805</v>
      </c>
      <c r="D19" s="1">
        <v>1786</v>
      </c>
      <c r="E19" s="1">
        <v>1697</v>
      </c>
      <c r="F19" s="1">
        <v>1697</v>
      </c>
      <c r="G19" s="1">
        <v>1540</v>
      </c>
      <c r="H19" s="1">
        <v>1535</v>
      </c>
      <c r="I19" s="1">
        <v>1653</v>
      </c>
      <c r="J19" s="1">
        <v>1637</v>
      </c>
      <c r="K19" s="1">
        <v>1566</v>
      </c>
      <c r="L19" s="1">
        <v>1488</v>
      </c>
      <c r="M19" s="1">
        <v>1408</v>
      </c>
      <c r="N19" s="1">
        <v>1229</v>
      </c>
      <c r="O19" s="1">
        <f>955+196</f>
        <v>1151</v>
      </c>
      <c r="P19" s="1">
        <f>1126+259</f>
        <v>1385</v>
      </c>
      <c r="Q19" s="1">
        <f>1040+172</f>
        <v>1212</v>
      </c>
      <c r="R19" s="1">
        <f>975+149</f>
        <v>1124</v>
      </c>
      <c r="S19" s="1">
        <f>1052+188</f>
        <v>1240</v>
      </c>
      <c r="T19" s="28">
        <f>1185+210</f>
        <v>1395</v>
      </c>
      <c r="U19" s="1">
        <f>1173+263</f>
        <v>1436</v>
      </c>
      <c r="V19" s="28">
        <f>1306+199</f>
        <v>1505</v>
      </c>
      <c r="W19" s="1">
        <f>1234+224</f>
        <v>1458</v>
      </c>
      <c r="X19" s="1">
        <f>1201+210</f>
        <v>1411</v>
      </c>
      <c r="Y19" s="1">
        <f>Pivot!M35</f>
        <v>1544</v>
      </c>
      <c r="Z19" s="1">
        <f>Pivot!N35</f>
        <v>1388</v>
      </c>
      <c r="AA19" s="1">
        <f>Pivot!O35</f>
        <v>1651</v>
      </c>
      <c r="AB19" s="1">
        <f>Pivot!P35</f>
        <v>1679</v>
      </c>
      <c r="AC19" s="1">
        <f>Pivot!Q35</f>
        <v>1644</v>
      </c>
      <c r="AD19" s="1">
        <f>Pivot!R35</f>
        <v>1818</v>
      </c>
    </row>
    <row r="20" spans="1:30" ht="12.75" customHeight="1">
      <c r="A20" s="2" t="str">
        <f>Pivot!A36</f>
        <v>Truman State University</v>
      </c>
      <c r="B20" s="26">
        <f>Pivot!L36</f>
        <v>1478</v>
      </c>
      <c r="C20" s="27">
        <v>1598</v>
      </c>
      <c r="D20" s="1">
        <v>1516</v>
      </c>
      <c r="E20" s="1">
        <v>1556</v>
      </c>
      <c r="F20" s="1">
        <v>1356</v>
      </c>
      <c r="G20" s="1">
        <v>1678</v>
      </c>
      <c r="H20" s="1">
        <v>1458</v>
      </c>
      <c r="I20" s="1">
        <v>1599</v>
      </c>
      <c r="J20" s="1">
        <v>1598</v>
      </c>
      <c r="K20" s="1">
        <v>1294</v>
      </c>
      <c r="L20" s="1">
        <v>1394</v>
      </c>
      <c r="M20" s="1">
        <v>1395</v>
      </c>
      <c r="N20" s="1">
        <v>1617</v>
      </c>
      <c r="O20" s="1">
        <f>1079+464</f>
        <v>1543</v>
      </c>
      <c r="P20" s="1">
        <f>1114+384</f>
        <v>1498</v>
      </c>
      <c r="Q20" s="1">
        <f>1060+408</f>
        <v>1468</v>
      </c>
      <c r="R20" s="1">
        <f>1195+461</f>
        <v>1656</v>
      </c>
      <c r="S20" s="1">
        <f>1093+390</f>
        <v>1483</v>
      </c>
      <c r="T20" s="28">
        <f>1070+384</f>
        <v>1454</v>
      </c>
      <c r="U20" s="1">
        <f>1035+365</f>
        <v>1400</v>
      </c>
      <c r="V20" s="28">
        <f>1064+394</f>
        <v>1458</v>
      </c>
      <c r="W20" s="1">
        <f>1040+405</f>
        <v>1445</v>
      </c>
      <c r="X20" s="1">
        <f>959+353</f>
        <v>1312</v>
      </c>
      <c r="Y20" s="1">
        <f>Pivot!M36</f>
        <v>1442</v>
      </c>
      <c r="Z20" s="1">
        <f>Pivot!N36</f>
        <v>1365</v>
      </c>
      <c r="AA20" s="1">
        <f>Pivot!O36</f>
        <v>1404</v>
      </c>
      <c r="AB20" s="1">
        <f>Pivot!P36</f>
        <v>1334</v>
      </c>
      <c r="AC20" s="1">
        <f>Pivot!Q36</f>
        <v>1339</v>
      </c>
      <c r="AD20" s="1">
        <f>Pivot!R36</f>
        <v>1417</v>
      </c>
    </row>
    <row r="21" spans="1:30" ht="12.75" customHeight="1">
      <c r="A21" s="2" t="str">
        <f>Pivot!A37</f>
        <v>University of Central Missouri</v>
      </c>
      <c r="B21" s="26">
        <f>Pivot!L37</f>
        <v>1436</v>
      </c>
      <c r="C21" s="27">
        <v>1884</v>
      </c>
      <c r="D21" s="1">
        <v>1798</v>
      </c>
      <c r="E21" s="1">
        <v>1668</v>
      </c>
      <c r="F21" s="1">
        <v>1738</v>
      </c>
      <c r="G21" s="1">
        <v>1750</v>
      </c>
      <c r="H21" s="1">
        <v>2071</v>
      </c>
      <c r="I21" s="1">
        <v>2204</v>
      </c>
      <c r="J21" s="1">
        <v>2365</v>
      </c>
      <c r="K21" s="1">
        <v>1941</v>
      </c>
      <c r="L21" s="1">
        <v>1957</v>
      </c>
      <c r="M21" s="1">
        <v>1766</v>
      </c>
      <c r="N21" s="1">
        <v>1436</v>
      </c>
      <c r="O21" s="1">
        <f>1228+120</f>
        <v>1348</v>
      </c>
      <c r="P21" s="1">
        <f>1336+93</f>
        <v>1429</v>
      </c>
      <c r="Q21" s="1">
        <f>1150+105</f>
        <v>1255</v>
      </c>
      <c r="R21" s="1">
        <f>1217+108</f>
        <v>1325</v>
      </c>
      <c r="S21" s="1">
        <f>1277+131</f>
        <v>1408</v>
      </c>
      <c r="T21" s="28">
        <f>1188+141</f>
        <v>1329</v>
      </c>
      <c r="U21" s="1">
        <f>1345+111</f>
        <v>1456</v>
      </c>
      <c r="V21" s="28">
        <f>1282+156</f>
        <v>1438</v>
      </c>
      <c r="W21" s="1">
        <f>1115+133</f>
        <v>1248</v>
      </c>
      <c r="X21" s="1">
        <f>1218+140</f>
        <v>1358</v>
      </c>
      <c r="Y21" s="1">
        <f>Pivot!M37</f>
        <v>1501</v>
      </c>
      <c r="Z21" s="1">
        <f>Pivot!N37</f>
        <v>1545</v>
      </c>
      <c r="AA21" s="1">
        <f>Pivot!O37</f>
        <v>1496</v>
      </c>
      <c r="AB21" s="1">
        <f>Pivot!P37</f>
        <v>1586</v>
      </c>
      <c r="AC21" s="1">
        <f>Pivot!Q37</f>
        <v>1479</v>
      </c>
      <c r="AD21" s="1">
        <f>Pivot!R37</f>
        <v>1547</v>
      </c>
    </row>
    <row r="22" spans="1:30" ht="12.75" customHeight="1">
      <c r="A22" s="2" t="str">
        <f>Pivot!A38</f>
        <v>University of Missouri-Columbia</v>
      </c>
      <c r="B22" s="26">
        <f>Pivot!L38</f>
        <v>4631</v>
      </c>
      <c r="C22" s="27">
        <v>4109</v>
      </c>
      <c r="D22" s="1">
        <v>3706</v>
      </c>
      <c r="E22" s="1">
        <v>3632</v>
      </c>
      <c r="F22" s="1">
        <v>3590</v>
      </c>
      <c r="G22" s="1">
        <v>3460</v>
      </c>
      <c r="H22" s="1">
        <v>3685</v>
      </c>
      <c r="I22" s="1">
        <v>3985</v>
      </c>
      <c r="J22" s="1">
        <v>3964</v>
      </c>
      <c r="K22" s="1">
        <v>3812</v>
      </c>
      <c r="L22" s="1">
        <v>3370</v>
      </c>
      <c r="M22" s="1">
        <v>2909</v>
      </c>
      <c r="N22" s="1">
        <v>2901</v>
      </c>
      <c r="O22" s="1">
        <f>3041+547</f>
        <v>3588</v>
      </c>
      <c r="P22" s="1">
        <f>3174+616</f>
        <v>3790</v>
      </c>
      <c r="Q22" s="1">
        <f>3094+603</f>
        <v>3697</v>
      </c>
      <c r="R22" s="1">
        <f>2915+599</f>
        <v>3514</v>
      </c>
      <c r="S22" s="1">
        <f>3105+682</f>
        <v>3787</v>
      </c>
      <c r="T22" s="28">
        <f>3174+703</f>
        <v>3877</v>
      </c>
      <c r="U22" s="1">
        <f>3485+689</f>
        <v>4174</v>
      </c>
      <c r="V22" s="28">
        <f>3396+717</f>
        <v>4113</v>
      </c>
      <c r="W22" s="1">
        <f>3637+746</f>
        <v>4383</v>
      </c>
      <c r="X22" s="1">
        <f>3837+770</f>
        <v>4607</v>
      </c>
      <c r="Y22" s="1">
        <f>Pivot!M38</f>
        <v>4663</v>
      </c>
      <c r="Z22" s="1">
        <f>Pivot!N38</f>
        <v>4785</v>
      </c>
      <c r="AA22" s="1">
        <f>Pivot!O38</f>
        <v>4904</v>
      </c>
      <c r="AB22" s="1">
        <f>Pivot!P38</f>
        <v>5702</v>
      </c>
      <c r="AC22" s="1">
        <f>Pivot!Q38</f>
        <v>5499</v>
      </c>
      <c r="AD22" s="1">
        <f>Pivot!R38</f>
        <v>6004</v>
      </c>
    </row>
    <row r="23" spans="1:30" ht="12.75" customHeight="1">
      <c r="A23" s="2" t="str">
        <f>Pivot!A39</f>
        <v>University of Missouri-Kansas City</v>
      </c>
      <c r="B23" s="26">
        <f>Pivot!L39</f>
        <v>906</v>
      </c>
      <c r="C23" s="27">
        <v>724</v>
      </c>
      <c r="D23" s="1">
        <v>621</v>
      </c>
      <c r="E23" s="1">
        <v>623</v>
      </c>
      <c r="F23" s="1">
        <v>679</v>
      </c>
      <c r="G23" s="1">
        <v>637</v>
      </c>
      <c r="H23" s="1">
        <v>640</v>
      </c>
      <c r="I23" s="1">
        <v>668</v>
      </c>
      <c r="J23" s="1">
        <v>664</v>
      </c>
      <c r="K23" s="1">
        <v>608</v>
      </c>
      <c r="L23" s="2">
        <v>497</v>
      </c>
      <c r="M23" s="1">
        <v>479</v>
      </c>
      <c r="N23" s="2">
        <v>516</v>
      </c>
      <c r="O23" s="1">
        <f>393+112</f>
        <v>505</v>
      </c>
      <c r="P23" s="1">
        <f>445+123</f>
        <v>568</v>
      </c>
      <c r="Q23" s="1">
        <f>451+118</f>
        <v>569</v>
      </c>
      <c r="R23" s="1">
        <f>468+120</f>
        <v>588</v>
      </c>
      <c r="S23" s="1">
        <f>490+128</f>
        <v>618</v>
      </c>
      <c r="T23" s="28">
        <f>514+126</f>
        <v>640</v>
      </c>
      <c r="U23" s="1">
        <f>560+129</f>
        <v>689</v>
      </c>
      <c r="V23" s="28">
        <f>589+148</f>
        <v>737</v>
      </c>
      <c r="W23" s="1">
        <f>588+164</f>
        <v>752</v>
      </c>
      <c r="X23" s="1">
        <f>589+176</f>
        <v>765</v>
      </c>
      <c r="Y23" s="1">
        <f>Pivot!M39</f>
        <v>1016</v>
      </c>
      <c r="Z23" s="1">
        <f>Pivot!N39</f>
        <v>929</v>
      </c>
      <c r="AA23" s="1">
        <f>Pivot!O39</f>
        <v>916</v>
      </c>
      <c r="AB23" s="1">
        <f>Pivot!P39</f>
        <v>975</v>
      </c>
      <c r="AC23" s="1">
        <f>Pivot!Q39</f>
        <v>979</v>
      </c>
      <c r="AD23" s="1">
        <f>Pivot!R39</f>
        <v>1109</v>
      </c>
    </row>
    <row r="24" spans="1:30" ht="12.75" customHeight="1">
      <c r="A24" s="2" t="str">
        <f>Pivot!A40</f>
        <v>University of Missouri-St Louis</v>
      </c>
      <c r="B24" s="26">
        <f>Pivot!L40</f>
        <v>399</v>
      </c>
      <c r="C24" s="27">
        <v>1009</v>
      </c>
      <c r="D24" s="1">
        <v>977</v>
      </c>
      <c r="E24" s="1">
        <v>915</v>
      </c>
      <c r="F24" s="1">
        <v>834</v>
      </c>
      <c r="G24" s="1">
        <v>813</v>
      </c>
      <c r="H24" s="1">
        <v>818</v>
      </c>
      <c r="I24" s="1">
        <v>838</v>
      </c>
      <c r="J24" s="1">
        <v>819</v>
      </c>
      <c r="K24" s="1">
        <v>802</v>
      </c>
      <c r="L24" s="2">
        <v>637</v>
      </c>
      <c r="M24" s="1">
        <v>475</v>
      </c>
      <c r="N24" s="2">
        <v>458</v>
      </c>
      <c r="O24" s="1">
        <f>496+34</f>
        <v>530</v>
      </c>
      <c r="P24" s="1">
        <f>519+33</f>
        <v>552</v>
      </c>
      <c r="Q24" s="1">
        <v>632</v>
      </c>
      <c r="R24" s="1">
        <f>423+35</f>
        <v>458</v>
      </c>
      <c r="S24" s="1">
        <f>498+31</f>
        <v>529</v>
      </c>
      <c r="T24" s="28">
        <f>494+45</f>
        <v>539</v>
      </c>
      <c r="U24" s="1">
        <f>446+52</f>
        <v>498</v>
      </c>
      <c r="V24" s="28">
        <f>455+61</f>
        <v>516</v>
      </c>
      <c r="W24" s="1">
        <f>368+58</f>
        <v>426</v>
      </c>
      <c r="X24" s="1">
        <f>408+58</f>
        <v>466</v>
      </c>
      <c r="Y24" s="1">
        <f>Pivot!M40</f>
        <v>498</v>
      </c>
      <c r="Z24" s="1">
        <f>Pivot!N40</f>
        <v>477</v>
      </c>
      <c r="AA24" s="1">
        <f>Pivot!O40</f>
        <v>462</v>
      </c>
      <c r="AB24" s="1">
        <f>Pivot!P40</f>
        <v>438</v>
      </c>
      <c r="AC24" s="1">
        <f>Pivot!Q40</f>
        <v>494</v>
      </c>
      <c r="AD24" s="1">
        <f>Pivot!R40</f>
        <v>479</v>
      </c>
    </row>
    <row r="25" spans="1:30" ht="12.75" customHeight="1">
      <c r="A25" s="2" t="s">
        <v>22</v>
      </c>
      <c r="B25" s="26">
        <f t="shared" ref="B25:Z25" si="0">SUM(B12:B24)</f>
        <v>17501</v>
      </c>
      <c r="C25" s="29">
        <f t="shared" si="0"/>
        <v>18258</v>
      </c>
      <c r="D25" s="26">
        <f t="shared" si="0"/>
        <v>17408</v>
      </c>
      <c r="E25" s="26">
        <f t="shared" si="0"/>
        <v>16361</v>
      </c>
      <c r="F25" s="26">
        <f t="shared" si="0"/>
        <v>16320</v>
      </c>
      <c r="G25" s="26">
        <f t="shared" si="0"/>
        <v>15886</v>
      </c>
      <c r="H25" s="26">
        <f t="shared" si="0"/>
        <v>17193</v>
      </c>
      <c r="I25" s="26">
        <f t="shared" si="0"/>
        <v>18560</v>
      </c>
      <c r="J25" s="26">
        <f t="shared" si="0"/>
        <v>18952</v>
      </c>
      <c r="K25" s="26">
        <f t="shared" si="0"/>
        <v>17492</v>
      </c>
      <c r="L25" s="26">
        <f t="shared" si="0"/>
        <v>16588</v>
      </c>
      <c r="M25" s="26">
        <f t="shared" si="0"/>
        <v>15568</v>
      </c>
      <c r="N25" s="26">
        <f t="shared" si="0"/>
        <v>15234</v>
      </c>
      <c r="O25" s="26">
        <f t="shared" si="0"/>
        <v>15520</v>
      </c>
      <c r="P25" s="26">
        <f t="shared" si="0"/>
        <v>15943</v>
      </c>
      <c r="Q25" s="26">
        <f t="shared" si="0"/>
        <v>15476</v>
      </c>
      <c r="R25" s="26">
        <f t="shared" si="0"/>
        <v>15366</v>
      </c>
      <c r="S25" s="26">
        <f t="shared" si="0"/>
        <v>16044</v>
      </c>
      <c r="T25" s="30">
        <f t="shared" si="0"/>
        <v>16167</v>
      </c>
      <c r="U25" s="26">
        <f t="shared" si="0"/>
        <v>16384</v>
      </c>
      <c r="V25" s="30">
        <f t="shared" si="0"/>
        <v>16647</v>
      </c>
      <c r="W25" s="26">
        <f t="shared" si="0"/>
        <v>16601</v>
      </c>
      <c r="X25" s="26">
        <f t="shared" si="0"/>
        <v>16765</v>
      </c>
      <c r="Y25" s="26">
        <f t="shared" si="0"/>
        <v>18121</v>
      </c>
      <c r="Z25" s="26">
        <f t="shared" si="0"/>
        <v>18136</v>
      </c>
      <c r="AA25" s="26">
        <f>SUM(AA12:AA24)</f>
        <v>18728</v>
      </c>
      <c r="AB25" s="26">
        <f>SUM(AB12:AB24)</f>
        <v>19502</v>
      </c>
      <c r="AC25" s="26">
        <f>SUM(AC12:AC24)</f>
        <v>19631</v>
      </c>
      <c r="AD25" s="49">
        <f>SUM(AD12:AD24)</f>
        <v>20386</v>
      </c>
    </row>
    <row r="26" spans="1:30" ht="12.75" customHeight="1">
      <c r="B26" s="26"/>
      <c r="C26" s="27"/>
      <c r="D26" s="1"/>
      <c r="E26" s="1"/>
      <c r="F26" s="1"/>
      <c r="G26" s="1"/>
      <c r="H26" s="1"/>
      <c r="I26" s="1"/>
      <c r="J26" s="1"/>
      <c r="K26" s="1"/>
      <c r="O26" s="1"/>
      <c r="P26" s="1"/>
      <c r="Q26" s="1"/>
      <c r="R26" s="1"/>
      <c r="S26" s="1"/>
      <c r="T26" s="28"/>
      <c r="U26" s="1"/>
      <c r="V26" s="25"/>
      <c r="Y26" s="1"/>
    </row>
    <row r="27" spans="1:30" ht="27" customHeight="1">
      <c r="A27" s="23" t="s">
        <v>23</v>
      </c>
      <c r="B27" s="26"/>
      <c r="C27" s="27"/>
      <c r="D27" s="1"/>
      <c r="E27" s="1"/>
      <c r="F27" s="1"/>
      <c r="G27" s="1"/>
      <c r="H27" s="1"/>
      <c r="I27" s="1"/>
      <c r="J27" s="1"/>
      <c r="K27" s="1"/>
      <c r="O27" s="1"/>
      <c r="P27" s="1"/>
      <c r="Q27" s="1"/>
      <c r="R27" s="1"/>
      <c r="S27" s="1"/>
      <c r="T27" s="28"/>
      <c r="U27" s="1"/>
      <c r="V27" s="25"/>
      <c r="Y27" s="1"/>
    </row>
    <row r="28" spans="1:30" ht="12.75" customHeight="1">
      <c r="A28" s="23"/>
      <c r="B28" s="26"/>
      <c r="C28" s="27"/>
      <c r="D28" s="1"/>
      <c r="E28" s="1"/>
      <c r="F28" s="1"/>
      <c r="G28" s="1"/>
      <c r="H28" s="1"/>
      <c r="I28" s="1"/>
      <c r="J28" s="1"/>
      <c r="K28" s="1"/>
      <c r="O28" s="1"/>
      <c r="P28" s="1"/>
      <c r="Q28" s="1"/>
      <c r="R28" s="1"/>
      <c r="S28" s="1"/>
      <c r="T28" s="28"/>
      <c r="U28" s="1"/>
      <c r="V28" s="25"/>
      <c r="Y28" s="1"/>
    </row>
    <row r="29" spans="1:30" ht="12.75" customHeight="1">
      <c r="A29" s="2" t="str">
        <f>Pivot!A6</f>
        <v>Crowder College</v>
      </c>
      <c r="B29" s="26">
        <f>Pivot!L6</f>
        <v>598</v>
      </c>
      <c r="C29" s="27">
        <v>375</v>
      </c>
      <c r="D29" s="1">
        <v>355</v>
      </c>
      <c r="E29" s="1">
        <v>258</v>
      </c>
      <c r="F29" s="1">
        <v>325</v>
      </c>
      <c r="G29" s="1">
        <v>216</v>
      </c>
      <c r="H29" s="1">
        <v>267</v>
      </c>
      <c r="I29" s="1">
        <v>185</v>
      </c>
      <c r="J29" s="1">
        <v>233</v>
      </c>
      <c r="K29" s="1">
        <v>292</v>
      </c>
      <c r="L29" s="2">
        <v>301</v>
      </c>
      <c r="M29" s="2">
        <v>304</v>
      </c>
      <c r="N29" s="2">
        <v>220</v>
      </c>
      <c r="O29" s="1">
        <f>148+24</f>
        <v>172</v>
      </c>
      <c r="P29" s="1">
        <f>161+25</f>
        <v>186</v>
      </c>
      <c r="Q29" s="1">
        <f>226+23</f>
        <v>249</v>
      </c>
      <c r="R29" s="1">
        <f>180+28</f>
        <v>208</v>
      </c>
      <c r="S29" s="1">
        <f>199+22</f>
        <v>221</v>
      </c>
      <c r="T29" s="28">
        <f>227+29</f>
        <v>256</v>
      </c>
      <c r="U29" s="1">
        <f>230+13</f>
        <v>243</v>
      </c>
      <c r="V29" s="31">
        <v>268</v>
      </c>
      <c r="W29" s="3">
        <f>161+192+13</f>
        <v>366</v>
      </c>
      <c r="X29" s="1">
        <f>572+28</f>
        <v>600</v>
      </c>
      <c r="Y29" s="1">
        <f>Pivot!M6</f>
        <v>555</v>
      </c>
      <c r="Z29" s="1">
        <f>Pivot!N6</f>
        <v>598</v>
      </c>
      <c r="AA29" s="1">
        <f>Pivot!O6</f>
        <v>711</v>
      </c>
      <c r="AB29" s="1">
        <f>Pivot!P6</f>
        <v>698</v>
      </c>
      <c r="AC29" s="1">
        <f>Pivot!Q6</f>
        <v>1533</v>
      </c>
      <c r="AD29" s="1">
        <f>Pivot!R6</f>
        <v>820</v>
      </c>
    </row>
    <row r="30" spans="1:30" ht="12.75" customHeight="1">
      <c r="A30" s="2" t="str">
        <f>Pivot!A7</f>
        <v>East Central College</v>
      </c>
      <c r="B30" s="26">
        <f>Pivot!L7</f>
        <v>590</v>
      </c>
      <c r="C30" s="27">
        <v>347</v>
      </c>
      <c r="D30" s="1">
        <v>355</v>
      </c>
      <c r="E30" s="1">
        <v>352</v>
      </c>
      <c r="F30" s="1">
        <v>414</v>
      </c>
      <c r="G30" s="1">
        <v>399</v>
      </c>
      <c r="H30" s="1">
        <v>330</v>
      </c>
      <c r="I30" s="1">
        <v>363</v>
      </c>
      <c r="J30" s="1">
        <v>344</v>
      </c>
      <c r="K30" s="1">
        <v>260</v>
      </c>
      <c r="L30" s="2">
        <v>352</v>
      </c>
      <c r="M30" s="2">
        <v>427</v>
      </c>
      <c r="N30" s="2">
        <v>361</v>
      </c>
      <c r="O30" s="1">
        <v>346</v>
      </c>
      <c r="P30" s="1">
        <v>307</v>
      </c>
      <c r="Q30" s="1">
        <v>334</v>
      </c>
      <c r="R30" s="1">
        <v>327</v>
      </c>
      <c r="S30" s="1">
        <v>384</v>
      </c>
      <c r="T30" s="28">
        <v>326</v>
      </c>
      <c r="U30" s="1">
        <v>363</v>
      </c>
      <c r="V30" s="31">
        <f>484+4</f>
        <v>488</v>
      </c>
      <c r="W30" s="3">
        <f>367+205</f>
        <v>572</v>
      </c>
      <c r="X30" s="1">
        <f>323+215+6</f>
        <v>544</v>
      </c>
      <c r="Y30" s="1">
        <f>Pivot!M7</f>
        <v>493</v>
      </c>
      <c r="Z30" s="1">
        <f>Pivot!N7</f>
        <v>651</v>
      </c>
      <c r="AA30" s="1">
        <f>Pivot!O7</f>
        <v>563</v>
      </c>
      <c r="AB30" s="1">
        <f>Pivot!P7</f>
        <v>582</v>
      </c>
      <c r="AC30" s="1">
        <f>Pivot!Q7</f>
        <v>782</v>
      </c>
      <c r="AD30" s="1">
        <f>Pivot!R7</f>
        <v>743</v>
      </c>
    </row>
    <row r="31" spans="1:30" ht="12.75" customHeight="1">
      <c r="A31" s="2" t="str">
        <f>Pivot!A8</f>
        <v>Jefferson College</v>
      </c>
      <c r="B31" s="26">
        <f>Pivot!L8</f>
        <v>846</v>
      </c>
      <c r="C31" s="27">
        <v>492</v>
      </c>
      <c r="D31" s="1">
        <v>599</v>
      </c>
      <c r="E31" s="1">
        <v>614</v>
      </c>
      <c r="F31" s="1">
        <v>627</v>
      </c>
      <c r="G31" s="1">
        <v>430</v>
      </c>
      <c r="H31" s="1">
        <v>459</v>
      </c>
      <c r="I31" s="1">
        <v>506</v>
      </c>
      <c r="J31" s="1">
        <v>525</v>
      </c>
      <c r="K31" s="1">
        <v>543</v>
      </c>
      <c r="L31" s="2">
        <v>488</v>
      </c>
      <c r="M31" s="2">
        <v>612</v>
      </c>
      <c r="N31" s="2">
        <v>647</v>
      </c>
      <c r="O31" s="1">
        <f>585+6</f>
        <v>591</v>
      </c>
      <c r="P31" s="1">
        <f>637+11</f>
        <v>648</v>
      </c>
      <c r="Q31" s="1">
        <v>749</v>
      </c>
      <c r="R31" s="1">
        <v>636</v>
      </c>
      <c r="S31" s="1">
        <f>753+12</f>
        <v>765</v>
      </c>
      <c r="T31" s="28">
        <f>763+13</f>
        <v>776</v>
      </c>
      <c r="U31" s="1">
        <f>773+15</f>
        <v>788</v>
      </c>
      <c r="V31" s="31">
        <f>761+17</f>
        <v>778</v>
      </c>
      <c r="W31" s="3">
        <f>668+131+19</f>
        <v>818</v>
      </c>
      <c r="X31" s="1">
        <f>685+137+14</f>
        <v>836</v>
      </c>
      <c r="Y31" s="1">
        <f>Pivot!M8</f>
        <v>885</v>
      </c>
      <c r="Z31" s="1">
        <f>Pivot!N8</f>
        <v>857</v>
      </c>
      <c r="AA31" s="1">
        <f>Pivot!O8</f>
        <v>994</v>
      </c>
      <c r="AB31" s="1">
        <f>Pivot!P8</f>
        <v>977</v>
      </c>
      <c r="AC31" s="1">
        <f>Pivot!Q8</f>
        <v>1155</v>
      </c>
      <c r="AD31" s="1">
        <f>Pivot!R8</f>
        <v>1229</v>
      </c>
    </row>
    <row r="32" spans="1:30" ht="12.75" customHeight="1">
      <c r="A32" s="2" t="str">
        <f>Pivot!A9</f>
        <v>Linn State Technical College</v>
      </c>
      <c r="B32" s="26">
        <f>Pivot!L9</f>
        <v>327</v>
      </c>
      <c r="C32" s="27"/>
      <c r="D32" s="1"/>
      <c r="E32" s="1"/>
      <c r="F32" s="1"/>
      <c r="G32" s="33" t="s">
        <v>24</v>
      </c>
      <c r="H32" s="33" t="s">
        <v>24</v>
      </c>
      <c r="I32" s="33" t="s">
        <v>24</v>
      </c>
      <c r="J32" s="33" t="s">
        <v>24</v>
      </c>
      <c r="K32" s="33" t="s">
        <v>24</v>
      </c>
      <c r="L32" s="33" t="s">
        <v>24</v>
      </c>
      <c r="M32" s="33" t="s">
        <v>24</v>
      </c>
      <c r="N32" s="33" t="s">
        <v>24</v>
      </c>
      <c r="O32" s="33" t="s">
        <v>24</v>
      </c>
      <c r="P32" s="33" t="s">
        <v>24</v>
      </c>
      <c r="Q32" s="1">
        <v>296</v>
      </c>
      <c r="R32" s="1">
        <f>317+9</f>
        <v>326</v>
      </c>
      <c r="S32" s="1">
        <f>341+4</f>
        <v>345</v>
      </c>
      <c r="T32" s="28">
        <f>316+6</f>
        <v>322</v>
      </c>
      <c r="U32" s="3">
        <f>332+5</f>
        <v>337</v>
      </c>
      <c r="V32" s="31">
        <v>373</v>
      </c>
      <c r="W32" s="3">
        <f>372+6+38</f>
        <v>416</v>
      </c>
      <c r="X32" s="1">
        <v>362</v>
      </c>
      <c r="Y32" s="1">
        <f>Pivot!M9</f>
        <v>372</v>
      </c>
      <c r="Z32" s="1">
        <f>Pivot!N9</f>
        <v>401</v>
      </c>
      <c r="AA32" s="1">
        <f>Pivot!O9</f>
        <v>387</v>
      </c>
      <c r="AB32" s="1">
        <f>Pivot!P9</f>
        <v>456</v>
      </c>
      <c r="AC32" s="1">
        <f>Pivot!Q9</f>
        <v>478</v>
      </c>
      <c r="AD32" s="1">
        <f>Pivot!R9</f>
        <v>436</v>
      </c>
    </row>
    <row r="33" spans="1:30" ht="12.75" customHeight="1">
      <c r="A33" s="2" t="str">
        <f>Pivot!A10</f>
        <v>Metro. CC-Blue River</v>
      </c>
      <c r="B33" s="26">
        <f>Pivot!L10</f>
        <v>229</v>
      </c>
      <c r="C33" s="1"/>
      <c r="D33" s="1"/>
      <c r="E33" s="1"/>
      <c r="F33" s="1"/>
      <c r="G33" s="1"/>
      <c r="H33" s="1"/>
      <c r="I33" s="1"/>
      <c r="J33" s="1"/>
      <c r="K33" s="1"/>
      <c r="O33" s="1"/>
      <c r="P33" s="1"/>
      <c r="Q33" s="33" t="s">
        <v>25</v>
      </c>
      <c r="R33" s="33" t="s">
        <v>25</v>
      </c>
      <c r="S33" s="33" t="s">
        <v>25</v>
      </c>
      <c r="T33" s="34" t="s">
        <v>25</v>
      </c>
      <c r="U33" s="1">
        <v>173</v>
      </c>
      <c r="V33" s="31">
        <v>191</v>
      </c>
      <c r="W33" s="3">
        <v>203</v>
      </c>
      <c r="X33" s="1">
        <f>209+50</f>
        <v>259</v>
      </c>
      <c r="Y33" s="1">
        <f>Pivot!M10</f>
        <v>315</v>
      </c>
      <c r="Z33" s="1">
        <f>Pivot!N10</f>
        <v>344</v>
      </c>
      <c r="AA33" s="1">
        <f>Pivot!O10</f>
        <v>336</v>
      </c>
      <c r="AB33" s="1">
        <f>Pivot!P10</f>
        <v>477</v>
      </c>
      <c r="AC33" s="1">
        <f>Pivot!Q10</f>
        <v>540</v>
      </c>
      <c r="AD33" s="1">
        <f>Pivot!R10</f>
        <v>587</v>
      </c>
    </row>
    <row r="34" spans="1:30" ht="12.75" customHeight="1">
      <c r="A34" s="2" t="str">
        <f>Pivot!A11</f>
        <v>Metro. CC-Business &amp; Technology</v>
      </c>
      <c r="B34" s="26">
        <f>Pivot!L11</f>
        <v>21</v>
      </c>
      <c r="C34" s="35" t="s">
        <v>25</v>
      </c>
      <c r="D34" s="32" t="s">
        <v>25</v>
      </c>
      <c r="E34" s="32" t="s">
        <v>25</v>
      </c>
      <c r="F34" s="32" t="s">
        <v>25</v>
      </c>
      <c r="G34" s="32" t="s">
        <v>25</v>
      </c>
      <c r="H34" s="32" t="s">
        <v>25</v>
      </c>
      <c r="I34" s="32" t="s">
        <v>25</v>
      </c>
      <c r="J34" s="32" t="s">
        <v>25</v>
      </c>
      <c r="K34" s="32" t="s">
        <v>25</v>
      </c>
      <c r="L34" s="32" t="s">
        <v>25</v>
      </c>
      <c r="M34" s="32" t="s">
        <v>25</v>
      </c>
      <c r="N34" s="32" t="s">
        <v>25</v>
      </c>
      <c r="O34" s="32" t="s">
        <v>25</v>
      </c>
      <c r="P34" s="32" t="s">
        <v>25</v>
      </c>
      <c r="Q34" s="32" t="s">
        <v>25</v>
      </c>
      <c r="R34" s="32" t="s">
        <v>25</v>
      </c>
      <c r="S34" s="32" t="s">
        <v>25</v>
      </c>
      <c r="T34" s="36" t="s">
        <v>25</v>
      </c>
      <c r="U34" s="32" t="s">
        <v>25</v>
      </c>
      <c r="V34" s="36" t="s">
        <v>25</v>
      </c>
      <c r="W34" s="3">
        <v>11</v>
      </c>
      <c r="X34" s="1">
        <v>28</v>
      </c>
      <c r="Y34" s="1">
        <f>Pivot!M11</f>
        <v>43</v>
      </c>
      <c r="Z34" s="1">
        <f>Pivot!N11</f>
        <v>74</v>
      </c>
      <c r="AA34" s="1">
        <f>Pivot!O11</f>
        <v>77</v>
      </c>
      <c r="AB34" s="1">
        <f>Pivot!P11</f>
        <v>59</v>
      </c>
      <c r="AC34" s="1">
        <f>Pivot!Q11</f>
        <v>94</v>
      </c>
      <c r="AD34" s="1">
        <f>Pivot!R11</f>
        <v>96</v>
      </c>
    </row>
    <row r="35" spans="1:30" ht="12.75" customHeight="1">
      <c r="A35" s="2" t="str">
        <f>Pivot!A12</f>
        <v>Metro. CC-Longview</v>
      </c>
      <c r="B35" s="26">
        <f>Pivot!L12</f>
        <v>457</v>
      </c>
      <c r="C35" s="27">
        <v>700</v>
      </c>
      <c r="D35" s="1">
        <v>600</v>
      </c>
      <c r="E35" s="1">
        <v>496</v>
      </c>
      <c r="F35" s="1">
        <v>458</v>
      </c>
      <c r="G35" s="1">
        <v>392</v>
      </c>
      <c r="H35" s="1">
        <v>470</v>
      </c>
      <c r="I35" s="1">
        <v>655</v>
      </c>
      <c r="J35" s="1">
        <v>714</v>
      </c>
      <c r="K35" s="1">
        <v>778</v>
      </c>
      <c r="L35" s="2">
        <v>557</v>
      </c>
      <c r="M35" s="2">
        <v>623</v>
      </c>
      <c r="N35" s="2">
        <v>606</v>
      </c>
      <c r="O35" s="1">
        <v>568</v>
      </c>
      <c r="P35" s="1">
        <v>511</v>
      </c>
      <c r="Q35" s="1">
        <v>535</v>
      </c>
      <c r="R35" s="1">
        <v>514</v>
      </c>
      <c r="S35" s="1">
        <v>570</v>
      </c>
      <c r="T35" s="28">
        <f>635+5</f>
        <v>640</v>
      </c>
      <c r="U35" s="1">
        <f>486+4</f>
        <v>490</v>
      </c>
      <c r="V35" s="31">
        <v>371</v>
      </c>
      <c r="W35" s="3">
        <v>606</v>
      </c>
      <c r="X35" s="1">
        <f>346+87</f>
        <v>433</v>
      </c>
      <c r="Y35" s="1">
        <f>Pivot!M12</f>
        <v>665</v>
      </c>
      <c r="Z35" s="1">
        <f>Pivot!N12</f>
        <v>663</v>
      </c>
      <c r="AA35" s="1">
        <f>Pivot!O12</f>
        <v>841</v>
      </c>
      <c r="AB35" s="1">
        <f>Pivot!P12</f>
        <v>978</v>
      </c>
      <c r="AC35" s="1">
        <f>Pivot!Q12</f>
        <v>1007</v>
      </c>
      <c r="AD35" s="1">
        <f>Pivot!R12</f>
        <v>944</v>
      </c>
    </row>
    <row r="36" spans="1:30" ht="12.75" customHeight="1">
      <c r="A36" s="2" t="str">
        <f>Pivot!A13</f>
        <v>Metro. CC-Maple Woods</v>
      </c>
      <c r="B36" s="26">
        <f>Pivot!L13</f>
        <v>398</v>
      </c>
      <c r="C36" s="27">
        <v>323</v>
      </c>
      <c r="D36" s="1">
        <v>330</v>
      </c>
      <c r="E36" s="1">
        <v>273</v>
      </c>
      <c r="F36" s="1">
        <v>267</v>
      </c>
      <c r="G36" s="1">
        <v>158</v>
      </c>
      <c r="H36" s="1">
        <v>224</v>
      </c>
      <c r="I36" s="1">
        <v>259</v>
      </c>
      <c r="J36" s="1">
        <v>249</v>
      </c>
      <c r="K36" s="1">
        <v>248</v>
      </c>
      <c r="L36" s="2">
        <v>274</v>
      </c>
      <c r="M36" s="2">
        <v>283</v>
      </c>
      <c r="N36" s="2">
        <v>298</v>
      </c>
      <c r="O36" s="1">
        <v>245</v>
      </c>
      <c r="P36" s="1">
        <f>199+2</f>
        <v>201</v>
      </c>
      <c r="Q36" s="1">
        <v>259</v>
      </c>
      <c r="R36" s="1">
        <v>263</v>
      </c>
      <c r="S36" s="1">
        <v>346</v>
      </c>
      <c r="T36" s="28">
        <v>349</v>
      </c>
      <c r="U36" s="3">
        <f>428+2</f>
        <v>430</v>
      </c>
      <c r="V36" s="31">
        <f>438+4</f>
        <v>442</v>
      </c>
      <c r="W36" s="3">
        <f>468+2</f>
        <v>470</v>
      </c>
      <c r="X36" s="1">
        <f>231+161</f>
        <v>392</v>
      </c>
      <c r="Y36" s="1">
        <f>Pivot!M13</f>
        <v>571</v>
      </c>
      <c r="Z36" s="1">
        <f>Pivot!N13</f>
        <v>582</v>
      </c>
      <c r="AA36" s="1">
        <f>Pivot!O13</f>
        <v>663</v>
      </c>
      <c r="AB36" s="1">
        <f>Pivot!P13</f>
        <v>640</v>
      </c>
      <c r="AC36" s="1">
        <f>Pivot!Q13</f>
        <v>763</v>
      </c>
      <c r="AD36" s="1">
        <f>Pivot!R13</f>
        <v>845</v>
      </c>
    </row>
    <row r="37" spans="1:30" ht="12.75" customHeight="1">
      <c r="A37" s="2" t="str">
        <f>Pivot!A14</f>
        <v>Metro. CC-Penn Valley</v>
      </c>
      <c r="B37" s="26">
        <f>Pivot!L14</f>
        <v>259</v>
      </c>
      <c r="C37" s="27">
        <v>676</v>
      </c>
      <c r="D37" s="1">
        <v>612</v>
      </c>
      <c r="E37" s="1">
        <v>423</v>
      </c>
      <c r="F37" s="1">
        <v>364</v>
      </c>
      <c r="G37" s="1">
        <v>244</v>
      </c>
      <c r="H37" s="1">
        <v>240</v>
      </c>
      <c r="I37" s="1">
        <v>268</v>
      </c>
      <c r="J37" s="1">
        <v>297</v>
      </c>
      <c r="K37" s="1">
        <v>298</v>
      </c>
      <c r="L37" s="2">
        <v>297</v>
      </c>
      <c r="M37" s="2">
        <v>340</v>
      </c>
      <c r="N37" s="2">
        <v>285</v>
      </c>
      <c r="O37" s="1">
        <f>257+30</f>
        <v>287</v>
      </c>
      <c r="P37" s="1">
        <f>208+11</f>
        <v>219</v>
      </c>
      <c r="Q37" s="1">
        <v>194</v>
      </c>
      <c r="R37" s="1">
        <f>179+34</f>
        <v>213</v>
      </c>
      <c r="S37" s="1">
        <f>199+24</f>
        <v>223</v>
      </c>
      <c r="T37" s="28">
        <v>195</v>
      </c>
      <c r="U37" s="3">
        <f>243+13</f>
        <v>256</v>
      </c>
      <c r="V37" s="31">
        <f>230+38</f>
        <v>268</v>
      </c>
      <c r="W37" s="3">
        <f>235+2+22</f>
        <v>259</v>
      </c>
      <c r="X37" s="1">
        <f>197+23</f>
        <v>220</v>
      </c>
      <c r="Y37" s="1">
        <f>Pivot!M14</f>
        <v>357</v>
      </c>
      <c r="Z37" s="1">
        <f>Pivot!N14</f>
        <v>363</v>
      </c>
      <c r="AA37" s="1">
        <f>Pivot!O14</f>
        <v>373</v>
      </c>
      <c r="AB37" s="1">
        <f>Pivot!P14</f>
        <v>368</v>
      </c>
      <c r="AC37" s="1">
        <f>Pivot!Q14</f>
        <v>432</v>
      </c>
      <c r="AD37" s="1">
        <f>Pivot!R14</f>
        <v>373</v>
      </c>
    </row>
    <row r="38" spans="1:30" ht="12.75" customHeight="1">
      <c r="A38" s="2" t="str">
        <f>Pivot!A15</f>
        <v>Mineral Area College</v>
      </c>
      <c r="B38" s="26">
        <f>Pivot!L15</f>
        <v>608</v>
      </c>
      <c r="C38" s="27">
        <v>308</v>
      </c>
      <c r="D38" s="1">
        <v>310</v>
      </c>
      <c r="E38" s="1">
        <v>272</v>
      </c>
      <c r="F38" s="1">
        <v>284</v>
      </c>
      <c r="G38" s="1">
        <v>178</v>
      </c>
      <c r="H38" s="1">
        <v>159</v>
      </c>
      <c r="I38" s="1">
        <v>323</v>
      </c>
      <c r="J38" s="1">
        <v>305</v>
      </c>
      <c r="K38" s="1">
        <v>290</v>
      </c>
      <c r="L38" s="2">
        <v>319</v>
      </c>
      <c r="M38" s="2">
        <v>336</v>
      </c>
      <c r="N38" s="2">
        <v>314</v>
      </c>
      <c r="O38" s="1">
        <f>257+5</f>
        <v>262</v>
      </c>
      <c r="P38" s="1">
        <v>368</v>
      </c>
      <c r="Q38" s="1">
        <f>296+13</f>
        <v>309</v>
      </c>
      <c r="R38" s="1">
        <v>280</v>
      </c>
      <c r="S38" s="1">
        <f>349+6</f>
        <v>355</v>
      </c>
      <c r="T38" s="28">
        <v>429</v>
      </c>
      <c r="U38" s="3">
        <f>407+13</f>
        <v>420</v>
      </c>
      <c r="V38" s="31">
        <f>498+17</f>
        <v>515</v>
      </c>
      <c r="W38" s="3">
        <f>287+286+12</f>
        <v>585</v>
      </c>
      <c r="X38" s="1">
        <f>275+261+15</f>
        <v>551</v>
      </c>
      <c r="Y38" s="1">
        <f>Pivot!M15</f>
        <v>596</v>
      </c>
      <c r="Z38" s="1">
        <f>Pivot!N15</f>
        <v>631</v>
      </c>
      <c r="AA38" s="1">
        <f>Pivot!O15</f>
        <v>648</v>
      </c>
      <c r="AB38" s="1">
        <f>Pivot!P15</f>
        <v>452</v>
      </c>
      <c r="AC38" s="1">
        <f>Pivot!Q15</f>
        <v>842</v>
      </c>
      <c r="AD38" s="1">
        <f>Pivot!R15</f>
        <v>832</v>
      </c>
    </row>
    <row r="39" spans="1:30" ht="12.75" customHeight="1">
      <c r="A39" s="2" t="str">
        <f>Pivot!A16</f>
        <v>Missouri State University-WeSt Plains</v>
      </c>
      <c r="B39" s="26">
        <f>Pivot!L16</f>
        <v>342</v>
      </c>
      <c r="C39" s="27">
        <v>205</v>
      </c>
      <c r="D39" s="1">
        <v>224</v>
      </c>
      <c r="E39" s="1">
        <v>178</v>
      </c>
      <c r="F39" s="1">
        <v>184</v>
      </c>
      <c r="G39" s="1">
        <v>210</v>
      </c>
      <c r="H39" s="1">
        <v>273</v>
      </c>
      <c r="I39" s="1">
        <v>323</v>
      </c>
      <c r="J39" s="1">
        <v>293</v>
      </c>
      <c r="K39" s="1">
        <v>258</v>
      </c>
      <c r="L39" s="2">
        <v>333</v>
      </c>
      <c r="M39" s="2">
        <v>330</v>
      </c>
      <c r="N39" s="2">
        <v>309</v>
      </c>
      <c r="O39" s="1">
        <f>247+4</f>
        <v>251</v>
      </c>
      <c r="P39" s="1">
        <f>320+20</f>
        <v>340</v>
      </c>
      <c r="Q39" s="1">
        <f>306+14</f>
        <v>320</v>
      </c>
      <c r="R39" s="1">
        <f>269+8</f>
        <v>277</v>
      </c>
      <c r="S39" s="1">
        <v>374</v>
      </c>
      <c r="T39" s="28">
        <f>420+19</f>
        <v>439</v>
      </c>
      <c r="U39" s="3">
        <f>469+9</f>
        <v>478</v>
      </c>
      <c r="V39" s="31">
        <f>522+14</f>
        <v>536</v>
      </c>
      <c r="W39" s="3">
        <f>50+584+19</f>
        <v>653</v>
      </c>
      <c r="X39" s="1">
        <f>41+686+13</f>
        <v>740</v>
      </c>
      <c r="Y39" s="1">
        <f>Pivot!M16</f>
        <v>342</v>
      </c>
      <c r="Z39" s="1">
        <f>Pivot!N16</f>
        <v>293</v>
      </c>
      <c r="AA39" s="1">
        <f>Pivot!O16</f>
        <v>349</v>
      </c>
      <c r="AB39" s="1">
        <f>Pivot!P16</f>
        <v>442</v>
      </c>
      <c r="AC39" s="1">
        <f>Pivot!Q16</f>
        <v>523</v>
      </c>
      <c r="AD39" s="1">
        <f>Pivot!R16</f>
        <v>525</v>
      </c>
    </row>
    <row r="40" spans="1:30" ht="12.75" customHeight="1">
      <c r="A40" s="2" t="str">
        <f>Pivot!A17</f>
        <v>Moberly Area Community College</v>
      </c>
      <c r="B40" s="26">
        <f>Pivot!L17</f>
        <v>707</v>
      </c>
      <c r="C40" s="27">
        <v>91</v>
      </c>
      <c r="D40" s="1">
        <v>82</v>
      </c>
      <c r="E40" s="1">
        <v>71</v>
      </c>
      <c r="F40" s="1">
        <v>92</v>
      </c>
      <c r="G40" s="1">
        <v>99</v>
      </c>
      <c r="H40" s="1">
        <v>92</v>
      </c>
      <c r="I40" s="1">
        <v>95</v>
      </c>
      <c r="J40" s="1">
        <v>134</v>
      </c>
      <c r="K40" s="1">
        <v>165</v>
      </c>
      <c r="L40" s="1">
        <v>157</v>
      </c>
      <c r="M40" s="1">
        <v>173</v>
      </c>
      <c r="N40" s="1">
        <v>216</v>
      </c>
      <c r="O40" s="1">
        <f>205+18</f>
        <v>223</v>
      </c>
      <c r="P40" s="1">
        <f>192+28</f>
        <v>220</v>
      </c>
      <c r="Q40" s="1">
        <f>201+17</f>
        <v>218</v>
      </c>
      <c r="R40" s="1">
        <f>204+9</f>
        <v>213</v>
      </c>
      <c r="S40" s="1">
        <v>270</v>
      </c>
      <c r="T40" s="28">
        <f>255+23</f>
        <v>278</v>
      </c>
      <c r="U40" s="1">
        <f>293+13</f>
        <v>306</v>
      </c>
      <c r="V40" s="28">
        <f>331+19</f>
        <v>350</v>
      </c>
      <c r="W40" s="1">
        <f>344+21</f>
        <v>365</v>
      </c>
      <c r="X40" s="1">
        <f>375+17</f>
        <v>392</v>
      </c>
      <c r="Y40" s="1">
        <f>Pivot!M17</f>
        <v>562</v>
      </c>
      <c r="Z40" s="1">
        <f>Pivot!N17</f>
        <v>682</v>
      </c>
      <c r="AA40" s="1">
        <f>Pivot!O17</f>
        <v>696</v>
      </c>
      <c r="AB40" s="1">
        <f>Pivot!P17</f>
        <v>666</v>
      </c>
      <c r="AC40" s="1">
        <f>Pivot!Q17</f>
        <v>893</v>
      </c>
      <c r="AD40" s="1">
        <f>Pivot!R17</f>
        <v>780</v>
      </c>
    </row>
    <row r="41" spans="1:30" ht="12.75" customHeight="1">
      <c r="A41" s="2" t="str">
        <f>Pivot!A18</f>
        <v>North Central Missouri College</v>
      </c>
      <c r="B41" s="26">
        <f>Pivot!L18</f>
        <v>308</v>
      </c>
      <c r="C41" s="27">
        <v>95</v>
      </c>
      <c r="D41" s="1">
        <v>128</v>
      </c>
      <c r="E41" s="1">
        <v>131</v>
      </c>
      <c r="F41" s="1">
        <v>200</v>
      </c>
      <c r="G41" s="1">
        <v>102</v>
      </c>
      <c r="H41" s="1">
        <v>131</v>
      </c>
      <c r="I41" s="1">
        <v>107</v>
      </c>
      <c r="J41" s="1">
        <v>87</v>
      </c>
      <c r="K41" s="1">
        <v>138</v>
      </c>
      <c r="L41" s="2">
        <v>111</v>
      </c>
      <c r="M41" s="2">
        <v>146</v>
      </c>
      <c r="N41" s="2">
        <v>173</v>
      </c>
      <c r="O41" s="1">
        <f>157+4</f>
        <v>161</v>
      </c>
      <c r="P41" s="1">
        <v>171</v>
      </c>
      <c r="Q41" s="1">
        <v>195</v>
      </c>
      <c r="R41" s="1">
        <f>254+4</f>
        <v>258</v>
      </c>
      <c r="S41" s="1">
        <f>242+6</f>
        <v>248</v>
      </c>
      <c r="T41" s="28">
        <v>282</v>
      </c>
      <c r="U41" s="3">
        <f>284+6</f>
        <v>290</v>
      </c>
      <c r="V41" s="31">
        <f>268+13</f>
        <v>281</v>
      </c>
      <c r="W41" s="3">
        <f>40+243+3</f>
        <v>286</v>
      </c>
      <c r="X41" s="1">
        <f>29+263+4</f>
        <v>296</v>
      </c>
      <c r="Y41" s="1">
        <f>Pivot!M18</f>
        <v>230</v>
      </c>
      <c r="Z41" s="1">
        <f>Pivot!N18</f>
        <v>263</v>
      </c>
      <c r="AA41" s="1">
        <f>Pivot!O18</f>
        <v>296</v>
      </c>
      <c r="AB41" s="1">
        <f>Pivot!P18</f>
        <v>295</v>
      </c>
      <c r="AC41" s="1">
        <f>Pivot!Q18</f>
        <v>332</v>
      </c>
      <c r="AD41" s="1">
        <f>Pivot!R18</f>
        <v>325</v>
      </c>
    </row>
    <row r="42" spans="1:30" ht="12.75" customHeight="1">
      <c r="A42" s="2" t="str">
        <f>Pivot!A19</f>
        <v>Ozarks Technical Community College</v>
      </c>
      <c r="B42" s="26">
        <f>Pivot!L19</f>
        <v>1543</v>
      </c>
      <c r="C42" s="37" t="s">
        <v>25</v>
      </c>
      <c r="D42" s="33" t="s">
        <v>25</v>
      </c>
      <c r="E42" s="33" t="s">
        <v>25</v>
      </c>
      <c r="F42" s="33" t="s">
        <v>25</v>
      </c>
      <c r="G42" s="33" t="s">
        <v>25</v>
      </c>
      <c r="H42" s="33" t="s">
        <v>25</v>
      </c>
      <c r="I42" s="33" t="s">
        <v>25</v>
      </c>
      <c r="J42" s="33" t="s">
        <v>25</v>
      </c>
      <c r="K42" s="33" t="s">
        <v>25</v>
      </c>
      <c r="L42" s="2">
        <v>186</v>
      </c>
      <c r="M42" s="2">
        <v>192</v>
      </c>
      <c r="N42" s="2">
        <v>270</v>
      </c>
      <c r="O42" s="1">
        <v>256</v>
      </c>
      <c r="P42" s="1">
        <v>334</v>
      </c>
      <c r="Q42" s="1">
        <v>379</v>
      </c>
      <c r="R42" s="1">
        <f>499+9</f>
        <v>508</v>
      </c>
      <c r="S42" s="1">
        <f>533+9</f>
        <v>542</v>
      </c>
      <c r="T42" s="28">
        <v>711</v>
      </c>
      <c r="U42" s="3">
        <v>843</v>
      </c>
      <c r="V42" s="28">
        <f>1341+17</f>
        <v>1358</v>
      </c>
      <c r="W42" s="1">
        <f>1383+23</f>
        <v>1406</v>
      </c>
      <c r="X42" s="1">
        <f>862+668</f>
        <v>1530</v>
      </c>
      <c r="Y42" s="1">
        <f>Pivot!M19</f>
        <v>1656</v>
      </c>
      <c r="Z42" s="1">
        <f>Pivot!N19</f>
        <v>1622</v>
      </c>
      <c r="AA42" s="1">
        <f>Pivot!O19</f>
        <v>1748</v>
      </c>
      <c r="AB42" s="1">
        <f>Pivot!P19</f>
        <v>1659</v>
      </c>
      <c r="AC42" s="1">
        <f>Pivot!Q19</f>
        <v>2391</v>
      </c>
      <c r="AD42" s="1">
        <f>Pivot!R19</f>
        <v>2597</v>
      </c>
    </row>
    <row r="43" spans="1:30" ht="12.75" customHeight="1">
      <c r="A43" s="2" t="str">
        <f>Pivot!A20</f>
        <v>St. Charles Community College</v>
      </c>
      <c r="B43" s="26">
        <f>Pivot!L20</f>
        <v>1133</v>
      </c>
      <c r="C43" s="37" t="s">
        <v>25</v>
      </c>
      <c r="D43" s="33" t="s">
        <v>25</v>
      </c>
      <c r="E43" s="33" t="s">
        <v>25</v>
      </c>
      <c r="F43" s="33" t="s">
        <v>25</v>
      </c>
      <c r="G43" s="33" t="s">
        <v>25</v>
      </c>
      <c r="H43" s="1">
        <v>106</v>
      </c>
      <c r="I43" s="1">
        <v>50</v>
      </c>
      <c r="J43" s="1">
        <v>220</v>
      </c>
      <c r="K43" s="1">
        <v>292</v>
      </c>
      <c r="L43" s="2">
        <v>373</v>
      </c>
      <c r="M43" s="2">
        <v>465</v>
      </c>
      <c r="N43" s="2">
        <v>481</v>
      </c>
      <c r="O43" s="1">
        <v>469</v>
      </c>
      <c r="P43" s="1">
        <v>478</v>
      </c>
      <c r="Q43" s="1">
        <v>412</v>
      </c>
      <c r="R43" s="1">
        <v>614</v>
      </c>
      <c r="S43" s="1">
        <v>705</v>
      </c>
      <c r="T43" s="28">
        <v>748</v>
      </c>
      <c r="U43" s="3">
        <v>381</v>
      </c>
      <c r="V43" s="31">
        <v>548</v>
      </c>
      <c r="W43" s="3">
        <f>697+154+0</f>
        <v>851</v>
      </c>
      <c r="X43" s="1">
        <f>915+214</f>
        <v>1129</v>
      </c>
      <c r="Y43" s="1">
        <f>Pivot!M20</f>
        <v>1080</v>
      </c>
      <c r="Z43" s="1">
        <f>Pivot!N20</f>
        <v>1170</v>
      </c>
      <c r="AA43" s="1">
        <f>Pivot!O20</f>
        <v>1189</v>
      </c>
      <c r="AB43" s="1">
        <f>Pivot!P20</f>
        <v>1322</v>
      </c>
      <c r="AC43" s="1">
        <f>Pivot!Q20</f>
        <v>1467</v>
      </c>
      <c r="AD43" s="1">
        <f>Pivot!R20</f>
        <v>1385</v>
      </c>
    </row>
    <row r="44" spans="1:30" ht="12.75" customHeight="1">
      <c r="A44" s="2" t="str">
        <f>Pivot!A21</f>
        <v>St. Louis CC-Florissant Valley</v>
      </c>
      <c r="B44" s="26">
        <f>Pivot!L21</f>
        <v>727</v>
      </c>
      <c r="C44" s="27">
        <v>921</v>
      </c>
      <c r="D44" s="1">
        <v>898</v>
      </c>
      <c r="E44" s="1">
        <v>773</v>
      </c>
      <c r="F44" s="1">
        <v>747</v>
      </c>
      <c r="G44" s="1">
        <v>465</v>
      </c>
      <c r="H44" s="1">
        <v>528</v>
      </c>
      <c r="I44" s="1">
        <v>509</v>
      </c>
      <c r="J44" s="1">
        <v>581</v>
      </c>
      <c r="K44" s="1">
        <v>526</v>
      </c>
      <c r="L44" s="2">
        <v>580</v>
      </c>
      <c r="M44" s="2">
        <v>535</v>
      </c>
      <c r="N44" s="2">
        <v>445</v>
      </c>
      <c r="O44" s="1">
        <f>425+18</f>
        <v>443</v>
      </c>
      <c r="P44" s="1">
        <f>425+18</f>
        <v>443</v>
      </c>
      <c r="Q44" s="1">
        <f>490+29</f>
        <v>519</v>
      </c>
      <c r="R44" s="1">
        <f>522+16</f>
        <v>538</v>
      </c>
      <c r="S44" s="1">
        <f>516+8</f>
        <v>524</v>
      </c>
      <c r="T44" s="28">
        <f>518+13</f>
        <v>531</v>
      </c>
      <c r="U44" s="3">
        <f>473+16</f>
        <v>489</v>
      </c>
      <c r="V44" s="31">
        <f>624+29</f>
        <v>653</v>
      </c>
      <c r="W44" s="3">
        <f>707+38+16</f>
        <v>761</v>
      </c>
      <c r="X44" s="1">
        <f>711+33+33</f>
        <v>777</v>
      </c>
      <c r="Y44" s="1">
        <f>Pivot!M21</f>
        <v>739</v>
      </c>
      <c r="Z44" s="1">
        <f>Pivot!N21</f>
        <v>687</v>
      </c>
      <c r="AA44" s="1">
        <f>Pivot!O21</f>
        <v>650</v>
      </c>
      <c r="AB44" s="1">
        <f>Pivot!P21</f>
        <v>740</v>
      </c>
      <c r="AC44" s="1">
        <f>Pivot!Q21</f>
        <v>865</v>
      </c>
      <c r="AD44" s="1">
        <f>Pivot!R21</f>
        <v>1021</v>
      </c>
    </row>
    <row r="45" spans="1:30" ht="12.75" customHeight="1">
      <c r="A45" s="2" t="str">
        <f>Pivot!A22</f>
        <v>St. Louis CC-ForeSt Park</v>
      </c>
      <c r="B45" s="26">
        <f>Pivot!L22</f>
        <v>517</v>
      </c>
      <c r="C45" s="27">
        <v>334</v>
      </c>
      <c r="D45" s="1">
        <v>445</v>
      </c>
      <c r="E45" s="1">
        <v>342</v>
      </c>
      <c r="F45" s="1">
        <v>307</v>
      </c>
      <c r="G45" s="1">
        <v>265</v>
      </c>
      <c r="H45" s="1">
        <v>215</v>
      </c>
      <c r="I45" s="1">
        <v>263</v>
      </c>
      <c r="J45" s="1">
        <v>223</v>
      </c>
      <c r="K45" s="1">
        <v>228</v>
      </c>
      <c r="L45" s="2">
        <v>262</v>
      </c>
      <c r="M45" s="2">
        <v>248</v>
      </c>
      <c r="N45" s="2">
        <v>262</v>
      </c>
      <c r="O45" s="1">
        <f>247+29</f>
        <v>276</v>
      </c>
      <c r="P45" s="1">
        <f>214+34</f>
        <v>248</v>
      </c>
      <c r="Q45" s="1">
        <f>252+33</f>
        <v>285</v>
      </c>
      <c r="R45" s="1">
        <f>222+32</f>
        <v>254</v>
      </c>
      <c r="S45" s="1">
        <f>215+33</f>
        <v>248</v>
      </c>
      <c r="T45" s="28">
        <f>259+40</f>
        <v>299</v>
      </c>
      <c r="U45" s="3">
        <f>335+44</f>
        <v>379</v>
      </c>
      <c r="V45" s="31">
        <f>384+42</f>
        <v>426</v>
      </c>
      <c r="W45" s="3">
        <f>463+60+57</f>
        <v>580</v>
      </c>
      <c r="X45" s="1">
        <f>463+36+18</f>
        <v>517</v>
      </c>
      <c r="Y45" s="1">
        <f>Pivot!M22</f>
        <v>478</v>
      </c>
      <c r="Z45" s="1">
        <f>Pivot!N22</f>
        <v>544</v>
      </c>
      <c r="AA45" s="1">
        <f>Pivot!O22</f>
        <v>483</v>
      </c>
      <c r="AB45" s="1">
        <f>Pivot!P22</f>
        <v>526</v>
      </c>
      <c r="AC45" s="1">
        <f>Pivot!Q22</f>
        <v>650</v>
      </c>
      <c r="AD45" s="1">
        <f>Pivot!R22</f>
        <v>682</v>
      </c>
    </row>
    <row r="46" spans="1:30" ht="12.75" customHeight="1">
      <c r="A46" s="2" t="str">
        <f>Pivot!A23</f>
        <v>St. Louis CC-Meramec</v>
      </c>
      <c r="B46" s="26">
        <f>Pivot!L23</f>
        <v>1287</v>
      </c>
      <c r="C46" s="27">
        <v>1324</v>
      </c>
      <c r="D46" s="1">
        <v>1311</v>
      </c>
      <c r="E46" s="1">
        <v>1087</v>
      </c>
      <c r="F46" s="1">
        <v>1174</v>
      </c>
      <c r="G46" s="1">
        <v>541</v>
      </c>
      <c r="H46" s="1">
        <v>551</v>
      </c>
      <c r="I46" s="1">
        <v>662</v>
      </c>
      <c r="J46" s="1">
        <v>649</v>
      </c>
      <c r="K46" s="1">
        <v>608</v>
      </c>
      <c r="L46" s="2">
        <v>625</v>
      </c>
      <c r="M46" s="2">
        <v>621</v>
      </c>
      <c r="N46" s="2">
        <v>508</v>
      </c>
      <c r="O46" s="1">
        <f>463+12</f>
        <v>475</v>
      </c>
      <c r="P46" s="1">
        <f>495+13</f>
        <v>508</v>
      </c>
      <c r="Q46" s="1">
        <f>493+19</f>
        <v>512</v>
      </c>
      <c r="R46" s="1">
        <f>569+14</f>
        <v>583</v>
      </c>
      <c r="S46" s="1">
        <f>632+20</f>
        <v>652</v>
      </c>
      <c r="T46" s="28">
        <f>702+24</f>
        <v>726</v>
      </c>
      <c r="U46" s="3">
        <f>647+28</f>
        <v>675</v>
      </c>
      <c r="V46" s="31">
        <f>820+22</f>
        <v>842</v>
      </c>
      <c r="W46" s="3">
        <f>668+208+22</f>
        <v>898</v>
      </c>
      <c r="X46" s="1">
        <f>860+266+25</f>
        <v>1151</v>
      </c>
      <c r="Y46" s="1">
        <f>Pivot!M23</f>
        <v>1121</v>
      </c>
      <c r="Z46" s="1">
        <f>Pivot!N23</f>
        <v>1161</v>
      </c>
      <c r="AA46" s="1">
        <f>Pivot!O23</f>
        <v>959</v>
      </c>
      <c r="AB46" s="1">
        <f>Pivot!P23</f>
        <v>1256</v>
      </c>
      <c r="AC46" s="1">
        <f>Pivot!Q23</f>
        <v>1417</v>
      </c>
      <c r="AD46" s="1">
        <f>Pivot!R23</f>
        <v>1565</v>
      </c>
    </row>
    <row r="47" spans="1:30" ht="12.75" customHeight="1">
      <c r="A47" s="2" t="str">
        <f>Pivot!A24</f>
        <v>St. Louis CC-Wildwood</v>
      </c>
      <c r="B47" s="26">
        <f>Pivot!L24</f>
        <v>0</v>
      </c>
      <c r="C47" s="32" t="s">
        <v>25</v>
      </c>
      <c r="D47" s="32" t="s">
        <v>25</v>
      </c>
      <c r="E47" s="32" t="s">
        <v>25</v>
      </c>
      <c r="F47" s="32" t="s">
        <v>25</v>
      </c>
      <c r="G47" s="32" t="s">
        <v>25</v>
      </c>
      <c r="H47" s="32" t="s">
        <v>25</v>
      </c>
      <c r="I47" s="32" t="s">
        <v>25</v>
      </c>
      <c r="J47" s="32" t="s">
        <v>25</v>
      </c>
      <c r="K47" s="32" t="s">
        <v>25</v>
      </c>
      <c r="L47" s="32" t="s">
        <v>25</v>
      </c>
      <c r="M47" s="32" t="s">
        <v>25</v>
      </c>
      <c r="N47" s="32" t="s">
        <v>25</v>
      </c>
      <c r="O47" s="32" t="s">
        <v>25</v>
      </c>
      <c r="P47" s="32" t="s">
        <v>25</v>
      </c>
      <c r="Q47" s="32" t="s">
        <v>25</v>
      </c>
      <c r="R47" s="32" t="s">
        <v>25</v>
      </c>
      <c r="S47" s="32" t="s">
        <v>25</v>
      </c>
      <c r="T47" s="32" t="s">
        <v>25</v>
      </c>
      <c r="U47" s="32" t="s">
        <v>25</v>
      </c>
      <c r="V47" s="32" t="s">
        <v>25</v>
      </c>
      <c r="W47" s="32" t="s">
        <v>25</v>
      </c>
      <c r="X47" s="32" t="s">
        <v>25</v>
      </c>
      <c r="Y47" s="1">
        <f>Pivot!M24</f>
        <v>0</v>
      </c>
      <c r="Z47" s="1">
        <f>Pivot!N24</f>
        <v>0</v>
      </c>
      <c r="AA47" s="1">
        <f>Pivot!O24</f>
        <v>93</v>
      </c>
      <c r="AB47" s="1">
        <f>Pivot!P24</f>
        <v>147</v>
      </c>
      <c r="AC47" s="1">
        <f>Pivot!Q24</f>
        <v>160</v>
      </c>
      <c r="AD47" s="1">
        <f>Pivot!R24</f>
        <v>213</v>
      </c>
    </row>
    <row r="48" spans="1:30" ht="12.75" customHeight="1">
      <c r="A48" s="2" t="str">
        <f>Pivot!A25</f>
        <v>State Fair Community College</v>
      </c>
      <c r="B48" s="26">
        <f>Pivot!L25</f>
        <v>580</v>
      </c>
      <c r="C48" s="27">
        <v>266</v>
      </c>
      <c r="D48" s="1">
        <v>239</v>
      </c>
      <c r="E48" s="1">
        <v>230</v>
      </c>
      <c r="F48" s="1">
        <v>242</v>
      </c>
      <c r="G48" s="1">
        <v>279</v>
      </c>
      <c r="H48" s="1">
        <v>259</v>
      </c>
      <c r="I48" s="1">
        <v>283</v>
      </c>
      <c r="J48" s="1">
        <v>339</v>
      </c>
      <c r="K48" s="1">
        <v>377</v>
      </c>
      <c r="L48" s="2">
        <v>322</v>
      </c>
      <c r="M48" s="2">
        <v>316</v>
      </c>
      <c r="N48" s="2">
        <v>330</v>
      </c>
      <c r="O48" s="1">
        <f>317+6</f>
        <v>323</v>
      </c>
      <c r="P48" s="1">
        <f>298+6</f>
        <v>304</v>
      </c>
      <c r="Q48" s="1">
        <v>277</v>
      </c>
      <c r="R48" s="1">
        <f>344+11</f>
        <v>355</v>
      </c>
      <c r="S48" s="1">
        <f>357+10</f>
        <v>367</v>
      </c>
      <c r="T48" s="28">
        <f>397+24</f>
        <v>421</v>
      </c>
      <c r="U48" s="3">
        <f>585+19</f>
        <v>604</v>
      </c>
      <c r="V48" s="28">
        <f>609+20</f>
        <v>629</v>
      </c>
      <c r="W48" s="1">
        <f>207+384+12</f>
        <v>603</v>
      </c>
      <c r="X48" s="1">
        <f>213+439+10</f>
        <v>662</v>
      </c>
      <c r="Y48" s="1">
        <f>Pivot!M25</f>
        <v>574</v>
      </c>
      <c r="Z48" s="1">
        <f>Pivot!N25</f>
        <v>624</v>
      </c>
      <c r="AA48" s="1">
        <f>Pivot!O25</f>
        <v>677</v>
      </c>
      <c r="AB48" s="1">
        <f>Pivot!P25</f>
        <v>618</v>
      </c>
      <c r="AC48" s="1">
        <f>Pivot!Q25</f>
        <v>902</v>
      </c>
      <c r="AD48" s="1">
        <f>Pivot!R25</f>
        <v>901</v>
      </c>
    </row>
    <row r="49" spans="1:30" ht="12.75" customHeight="1">
      <c r="A49" s="2" t="str">
        <f>Pivot!A26</f>
        <v>Three Rivers Community College</v>
      </c>
      <c r="B49" s="26">
        <f>Pivot!L26</f>
        <v>588</v>
      </c>
      <c r="C49" s="27">
        <v>306</v>
      </c>
      <c r="D49" s="1">
        <v>294</v>
      </c>
      <c r="E49" s="1">
        <v>279</v>
      </c>
      <c r="F49" s="1">
        <v>325</v>
      </c>
      <c r="G49" s="1">
        <v>380</v>
      </c>
      <c r="H49" s="1">
        <v>331</v>
      </c>
      <c r="I49" s="1">
        <v>327</v>
      </c>
      <c r="J49" s="1">
        <v>410</v>
      </c>
      <c r="K49" s="1">
        <v>368</v>
      </c>
      <c r="L49" s="2">
        <v>400</v>
      </c>
      <c r="M49" s="2">
        <v>433</v>
      </c>
      <c r="N49" s="2">
        <v>415</v>
      </c>
      <c r="O49" s="1">
        <f>380+16</f>
        <v>396</v>
      </c>
      <c r="P49" s="1">
        <v>303</v>
      </c>
      <c r="Q49" s="1">
        <v>278</v>
      </c>
      <c r="R49" s="1">
        <f>284+10</f>
        <v>294</v>
      </c>
      <c r="S49" s="1">
        <v>391</v>
      </c>
      <c r="T49" s="28">
        <v>340</v>
      </c>
      <c r="U49" s="3">
        <f>334+13</f>
        <v>347</v>
      </c>
      <c r="V49" s="31">
        <f>413+17</f>
        <v>430</v>
      </c>
      <c r="W49" s="3">
        <f>174+150+23</f>
        <v>347</v>
      </c>
      <c r="X49" s="1">
        <f>245+278+16</f>
        <v>539</v>
      </c>
      <c r="Y49" s="1">
        <f>Pivot!M26</f>
        <v>515</v>
      </c>
      <c r="Z49" s="1">
        <f>Pivot!N26</f>
        <v>523</v>
      </c>
      <c r="AA49" s="1">
        <f>Pivot!O26</f>
        <v>606</v>
      </c>
      <c r="AB49" s="1">
        <f>Pivot!P26</f>
        <v>232</v>
      </c>
      <c r="AC49" s="1">
        <f>Pivot!Q26</f>
        <v>739</v>
      </c>
      <c r="AD49" s="1">
        <f>Pivot!R26</f>
        <v>695</v>
      </c>
    </row>
    <row r="50" spans="1:30" ht="12.75" customHeight="1">
      <c r="A50" s="3" t="s">
        <v>22</v>
      </c>
      <c r="B50" s="26">
        <f t="shared" ref="B50:Z50" si="1">SUM(B29:B49)</f>
        <v>12065</v>
      </c>
      <c r="C50" s="29">
        <f t="shared" si="1"/>
        <v>6763</v>
      </c>
      <c r="D50" s="26">
        <f t="shared" si="1"/>
        <v>6782</v>
      </c>
      <c r="E50" s="26">
        <f t="shared" si="1"/>
        <v>5779</v>
      </c>
      <c r="F50" s="26">
        <f t="shared" si="1"/>
        <v>6010</v>
      </c>
      <c r="G50" s="26">
        <f t="shared" si="1"/>
        <v>4358</v>
      </c>
      <c r="H50" s="26">
        <f t="shared" si="1"/>
        <v>4635</v>
      </c>
      <c r="I50" s="26">
        <f t="shared" si="1"/>
        <v>5178</v>
      </c>
      <c r="J50" s="26">
        <f t="shared" si="1"/>
        <v>5603</v>
      </c>
      <c r="K50" s="26">
        <f t="shared" si="1"/>
        <v>5669</v>
      </c>
      <c r="L50" s="26">
        <f t="shared" si="1"/>
        <v>5937</v>
      </c>
      <c r="M50" s="26">
        <f t="shared" si="1"/>
        <v>6384</v>
      </c>
      <c r="N50" s="26">
        <f t="shared" si="1"/>
        <v>6140</v>
      </c>
      <c r="O50" s="26">
        <f t="shared" si="1"/>
        <v>5744</v>
      </c>
      <c r="P50" s="26">
        <f t="shared" si="1"/>
        <v>5789</v>
      </c>
      <c r="Q50" s="26">
        <f t="shared" si="1"/>
        <v>6320</v>
      </c>
      <c r="R50" s="26">
        <f t="shared" si="1"/>
        <v>6661</v>
      </c>
      <c r="S50" s="26">
        <f t="shared" si="1"/>
        <v>7530</v>
      </c>
      <c r="T50" s="30">
        <f t="shared" si="1"/>
        <v>8068</v>
      </c>
      <c r="U50" s="26">
        <f t="shared" si="1"/>
        <v>8292</v>
      </c>
      <c r="V50" s="30">
        <f t="shared" si="1"/>
        <v>9747</v>
      </c>
      <c r="W50" s="26">
        <f t="shared" si="1"/>
        <v>11056</v>
      </c>
      <c r="X50" s="26">
        <f t="shared" si="1"/>
        <v>11958</v>
      </c>
      <c r="Y50" s="26">
        <f t="shared" si="1"/>
        <v>12149</v>
      </c>
      <c r="Z50" s="26">
        <f t="shared" si="1"/>
        <v>12733</v>
      </c>
      <c r="AA50" s="26">
        <f>SUM(AA29:AA49)</f>
        <v>13339</v>
      </c>
      <c r="AB50" s="26">
        <f>SUM(AB29:AB49)</f>
        <v>13590</v>
      </c>
      <c r="AC50" s="26">
        <f>SUM(AC29:AC49)</f>
        <v>17965</v>
      </c>
      <c r="AD50" s="49">
        <f>SUM(AD29:AD49)</f>
        <v>17594</v>
      </c>
    </row>
    <row r="51" spans="1:30" ht="12.75" customHeight="1">
      <c r="A51" s="3"/>
      <c r="B51" s="26"/>
      <c r="C51" s="27"/>
      <c r="D51" s="1"/>
      <c r="E51" s="1"/>
      <c r="F51" s="1"/>
      <c r="G51" s="1"/>
      <c r="H51" s="1"/>
      <c r="I51" s="1"/>
      <c r="J51" s="1"/>
      <c r="K51" s="1"/>
      <c r="O51" s="1"/>
      <c r="P51" s="1"/>
      <c r="Q51" s="1"/>
      <c r="R51" s="1"/>
      <c r="S51" s="1"/>
      <c r="T51" s="28"/>
      <c r="V51" s="25"/>
      <c r="Y51" s="1"/>
      <c r="Z51" s="1"/>
      <c r="AA51" s="1"/>
      <c r="AB51" s="1"/>
      <c r="AC51" s="1"/>
      <c r="AD51" s="1"/>
    </row>
    <row r="52" spans="1:30" ht="12.75" customHeight="1" thickBot="1">
      <c r="A52" s="5" t="s">
        <v>26</v>
      </c>
      <c r="B52" s="38">
        <f>SUM(B25+B50)</f>
        <v>29566</v>
      </c>
      <c r="C52" s="39">
        <f>SUM(C25+C50)</f>
        <v>25021</v>
      </c>
      <c r="D52" s="38">
        <f>SUM(D25+D50)</f>
        <v>24190</v>
      </c>
      <c r="E52" s="38">
        <f>SUM(E25+E50)</f>
        <v>22140</v>
      </c>
      <c r="F52" s="38">
        <f>SUM(F25+F50)</f>
        <v>22330</v>
      </c>
      <c r="G52" s="38">
        <f>SUM(G25+G50)</f>
        <v>20244</v>
      </c>
      <c r="H52" s="38">
        <f>SUM(H25+H50)</f>
        <v>21828</v>
      </c>
      <c r="I52" s="38">
        <f>SUM(I25+I50)</f>
        <v>23738</v>
      </c>
      <c r="J52" s="38">
        <f>SUM(J25+J50)</f>
        <v>24555</v>
      </c>
      <c r="K52" s="38">
        <f>SUM(K25+K50)</f>
        <v>23161</v>
      </c>
      <c r="L52" s="38">
        <f>SUM(L25+L50)</f>
        <v>22525</v>
      </c>
      <c r="M52" s="38">
        <f>SUM(M25+M50)</f>
        <v>21952</v>
      </c>
      <c r="N52" s="38">
        <f>SUM(N25+N50)</f>
        <v>21374</v>
      </c>
      <c r="O52" s="38">
        <f>SUM(O25+O50)</f>
        <v>21264</v>
      </c>
      <c r="P52" s="38">
        <f>SUM(P25+P50)</f>
        <v>21732</v>
      </c>
      <c r="Q52" s="38">
        <f>SUM(Q25+Q50)</f>
        <v>21796</v>
      </c>
      <c r="R52" s="38">
        <f>SUM(R25+R50)</f>
        <v>22027</v>
      </c>
      <c r="S52" s="38">
        <f>SUM(S25+S50)</f>
        <v>23574</v>
      </c>
      <c r="T52" s="40">
        <f>SUM(T25+T50)</f>
        <v>24235</v>
      </c>
      <c r="U52" s="38">
        <f>SUM(U25+U50)</f>
        <v>24676</v>
      </c>
      <c r="V52" s="40">
        <f>SUM(V25+V50)</f>
        <v>26394</v>
      </c>
      <c r="W52" s="38">
        <f>SUM(W25+W50)</f>
        <v>27657</v>
      </c>
      <c r="X52" s="38">
        <f>SUM(X25+X50)</f>
        <v>28723</v>
      </c>
      <c r="Y52" s="38">
        <f>SUM(Y25+Y50)</f>
        <v>30270</v>
      </c>
      <c r="Z52" s="38">
        <f>SUM(Z25+Z50)</f>
        <v>30869</v>
      </c>
      <c r="AA52" s="38">
        <f>SUM(AA25+AA50)</f>
        <v>32067</v>
      </c>
      <c r="AB52" s="38">
        <f>SUM(AB25+AB50)</f>
        <v>33092</v>
      </c>
      <c r="AC52" s="38">
        <f>SUM(AC25+AC50)</f>
        <v>37596</v>
      </c>
      <c r="AD52" s="38">
        <f>SUM(AD25+AD50)</f>
        <v>37980</v>
      </c>
    </row>
    <row r="53" spans="1:30" ht="12.75" customHeight="1" thickTop="1">
      <c r="A53" s="2" t="s">
        <v>27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Y53" s="1"/>
      <c r="Z53" s="1"/>
      <c r="AA53" s="1"/>
      <c r="AB53" s="1"/>
      <c r="AC53" s="1"/>
      <c r="AD53" s="1"/>
    </row>
    <row r="54" spans="1:30" ht="12.75" customHeight="1">
      <c r="A54" s="3" t="s">
        <v>28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30" ht="12.75" customHeight="1">
      <c r="A55" s="3" t="s">
        <v>38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30" ht="12.75" customHeight="1">
      <c r="O56" s="1"/>
      <c r="P56" s="1"/>
      <c r="Q56" s="1"/>
      <c r="R56" s="1"/>
      <c r="S56" s="1"/>
      <c r="T56" s="1"/>
    </row>
    <row r="57" spans="1:30" ht="12.75" customHeight="1">
      <c r="A57" s="3" t="s">
        <v>36</v>
      </c>
      <c r="O57" s="1"/>
      <c r="P57" s="1"/>
      <c r="Q57" s="1"/>
      <c r="R57" s="1"/>
      <c r="S57" s="1"/>
      <c r="T57" s="1"/>
    </row>
    <row r="58" spans="1:30" ht="12.75" customHeight="1">
      <c r="A58" s="3" t="s">
        <v>39</v>
      </c>
      <c r="O58" s="1"/>
      <c r="P58" s="1"/>
      <c r="Q58" s="1"/>
      <c r="R58" s="1"/>
      <c r="S58" s="1"/>
      <c r="T58" s="1"/>
    </row>
    <row r="59" spans="1:30" ht="12.75" customHeight="1">
      <c r="A59" s="3" t="s">
        <v>40</v>
      </c>
      <c r="O59" s="1"/>
      <c r="P59" s="1"/>
      <c r="Q59" s="1"/>
      <c r="R59" s="1"/>
      <c r="S59" s="1"/>
      <c r="T59" s="1"/>
    </row>
    <row r="60" spans="1:30" ht="12.75" customHeight="1">
      <c r="A60" s="3" t="s">
        <v>114</v>
      </c>
      <c r="O60" s="1"/>
      <c r="P60" s="1"/>
      <c r="Q60" s="1"/>
      <c r="R60" s="1"/>
      <c r="S60" s="1"/>
      <c r="T60" s="1"/>
    </row>
    <row r="61" spans="1:30" ht="12.75" customHeight="1" thickBo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26"/>
      <c r="P61" s="26"/>
      <c r="Q61" s="26"/>
      <c r="R61" s="26"/>
      <c r="S61" s="26"/>
      <c r="T61" s="26"/>
      <c r="U61" s="4"/>
      <c r="V61" s="4"/>
      <c r="W61" s="4"/>
      <c r="X61" s="5"/>
      <c r="Y61" s="5"/>
      <c r="Z61" s="5"/>
      <c r="AA61" s="5"/>
      <c r="AB61" s="5"/>
      <c r="AC61" s="5"/>
      <c r="AD61" s="5"/>
    </row>
    <row r="62" spans="1:30" ht="12.75" customHeight="1" thickTop="1">
      <c r="A62" s="6"/>
      <c r="B62" s="7"/>
      <c r="C62" s="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0"/>
      <c r="P62" s="10"/>
      <c r="Q62" s="10"/>
      <c r="R62" s="10"/>
      <c r="S62" s="10"/>
      <c r="T62" s="9"/>
      <c r="U62" s="10"/>
      <c r="V62" s="9"/>
      <c r="W62" s="10"/>
    </row>
    <row r="63" spans="1:30" ht="12.75" customHeight="1">
      <c r="B63" s="11" t="s">
        <v>0</v>
      </c>
      <c r="C63" s="12" t="s">
        <v>0</v>
      </c>
      <c r="D63" s="13" t="s">
        <v>0</v>
      </c>
      <c r="E63" s="13" t="s">
        <v>0</v>
      </c>
      <c r="F63" s="13" t="s">
        <v>0</v>
      </c>
      <c r="G63" s="13" t="s">
        <v>0</v>
      </c>
      <c r="H63" s="13" t="s">
        <v>0</v>
      </c>
      <c r="I63" s="13" t="s">
        <v>0</v>
      </c>
      <c r="J63" s="13" t="s">
        <v>0</v>
      </c>
      <c r="K63" s="13" t="s">
        <v>0</v>
      </c>
      <c r="L63" s="13" t="s">
        <v>0</v>
      </c>
      <c r="M63" s="13" t="s">
        <v>0</v>
      </c>
      <c r="N63" s="13" t="s">
        <v>0</v>
      </c>
      <c r="O63" s="41" t="s">
        <v>0</v>
      </c>
      <c r="P63" s="41" t="s">
        <v>0</v>
      </c>
      <c r="Q63" s="41" t="s">
        <v>0</v>
      </c>
      <c r="R63" s="41" t="s">
        <v>0</v>
      </c>
      <c r="S63" s="13" t="s">
        <v>0</v>
      </c>
      <c r="T63" s="14" t="s">
        <v>0</v>
      </c>
      <c r="U63" s="13" t="s">
        <v>0</v>
      </c>
      <c r="V63" s="14" t="s">
        <v>0</v>
      </c>
      <c r="W63" s="13" t="s">
        <v>0</v>
      </c>
      <c r="X63" s="13" t="s">
        <v>0</v>
      </c>
      <c r="Y63" s="13" t="s">
        <v>0</v>
      </c>
      <c r="Z63" s="13" t="s">
        <v>0</v>
      </c>
      <c r="AA63" s="13" t="s">
        <v>0</v>
      </c>
      <c r="AB63" s="13" t="s">
        <v>0</v>
      </c>
      <c r="AC63" s="13" t="s">
        <v>0</v>
      </c>
      <c r="AD63" s="13" t="s">
        <v>0</v>
      </c>
    </row>
    <row r="64" spans="1:30" ht="12.75" customHeight="1">
      <c r="A64" s="4"/>
      <c r="B64" s="11">
        <f>Pivot!L4</f>
        <v>2004</v>
      </c>
      <c r="C64" s="15" t="s">
        <v>1</v>
      </c>
      <c r="D64" s="11" t="s">
        <v>2</v>
      </c>
      <c r="E64" s="11" t="s">
        <v>3</v>
      </c>
      <c r="F64" s="11" t="s">
        <v>4</v>
      </c>
      <c r="G64" s="11" t="s">
        <v>5</v>
      </c>
      <c r="H64" s="11" t="s">
        <v>6</v>
      </c>
      <c r="I64" s="11" t="s">
        <v>7</v>
      </c>
      <c r="J64" s="11" t="s">
        <v>8</v>
      </c>
      <c r="K64" s="11" t="s">
        <v>9</v>
      </c>
      <c r="L64" s="11" t="s">
        <v>10</v>
      </c>
      <c r="M64" s="11" t="s">
        <v>11</v>
      </c>
      <c r="N64" s="11" t="s">
        <v>12</v>
      </c>
      <c r="O64" s="42" t="s">
        <v>13</v>
      </c>
      <c r="P64" s="42" t="s">
        <v>14</v>
      </c>
      <c r="Q64" s="42" t="s">
        <v>15</v>
      </c>
      <c r="R64" s="42" t="s">
        <v>16</v>
      </c>
      <c r="S64" s="16" t="s">
        <v>17</v>
      </c>
      <c r="T64" s="17" t="s">
        <v>18</v>
      </c>
      <c r="U64" s="16" t="s">
        <v>19</v>
      </c>
      <c r="V64" s="17" t="s">
        <v>20</v>
      </c>
      <c r="W64" s="16">
        <v>2002</v>
      </c>
      <c r="X64" s="18">
        <v>2003</v>
      </c>
      <c r="Y64" s="18">
        <f>Pivot!M4</f>
        <v>2005</v>
      </c>
      <c r="Z64" s="18">
        <f>Pivot!N4</f>
        <v>2006</v>
      </c>
      <c r="AA64" s="18">
        <f>Pivot!O4</f>
        <v>2007</v>
      </c>
      <c r="AB64" s="18">
        <f>Pivot!P4</f>
        <v>2008</v>
      </c>
      <c r="AC64" s="18">
        <f>Pivot!Q4</f>
        <v>2009</v>
      </c>
      <c r="AD64" s="18">
        <f>Pivot!R4</f>
        <v>2010</v>
      </c>
    </row>
    <row r="65" spans="1:30" ht="12.75" customHeight="1">
      <c r="A65" s="19"/>
      <c r="B65" s="20"/>
      <c r="C65" s="21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43"/>
      <c r="P65" s="43"/>
      <c r="Q65" s="43"/>
      <c r="R65" s="43"/>
      <c r="S65" s="44"/>
      <c r="T65" s="45"/>
      <c r="U65" s="19"/>
      <c r="V65" s="22"/>
      <c r="W65" s="19"/>
    </row>
    <row r="66" spans="1:30" ht="56.25" customHeight="1">
      <c r="A66" s="23" t="s">
        <v>30</v>
      </c>
      <c r="B66" s="4" t="s">
        <v>31</v>
      </c>
      <c r="C66" s="24"/>
      <c r="O66" s="1"/>
      <c r="P66" s="1"/>
      <c r="Q66" s="1"/>
      <c r="R66" s="1"/>
      <c r="S66" s="1"/>
      <c r="T66" s="28"/>
      <c r="V66" s="25"/>
    </row>
    <row r="67" spans="1:30" ht="12.75" customHeight="1">
      <c r="A67" s="23"/>
      <c r="B67" s="4"/>
      <c r="C67" s="24"/>
      <c r="O67" s="1"/>
      <c r="P67" s="1"/>
      <c r="Q67" s="1"/>
      <c r="R67" s="1"/>
      <c r="S67" s="1"/>
      <c r="T67" s="28"/>
      <c r="V67" s="25"/>
    </row>
    <row r="68" spans="1:30" ht="12.75" customHeight="1">
      <c r="A68" s="2" t="str">
        <f>Pivot!A45</f>
        <v>Avila University</v>
      </c>
      <c r="B68" s="26">
        <f>Pivot!L45</f>
        <v>132</v>
      </c>
      <c r="C68" s="27">
        <v>136</v>
      </c>
      <c r="D68" s="1">
        <v>106</v>
      </c>
      <c r="E68" s="1">
        <v>81</v>
      </c>
      <c r="F68" s="1">
        <v>122</v>
      </c>
      <c r="G68" s="1">
        <v>75</v>
      </c>
      <c r="H68" s="1">
        <v>60</v>
      </c>
      <c r="I68" s="1">
        <v>64</v>
      </c>
      <c r="J68" s="1">
        <v>44</v>
      </c>
      <c r="K68" s="1">
        <v>101</v>
      </c>
      <c r="L68" s="1">
        <v>88</v>
      </c>
      <c r="M68" s="1">
        <v>91</v>
      </c>
      <c r="N68" s="1">
        <v>84</v>
      </c>
      <c r="O68" s="1">
        <v>111</v>
      </c>
      <c r="P68" s="1">
        <v>102</v>
      </c>
      <c r="Q68" s="1">
        <v>91</v>
      </c>
      <c r="R68" s="1">
        <v>96</v>
      </c>
      <c r="S68" s="1">
        <v>113</v>
      </c>
      <c r="T68" s="28">
        <v>113</v>
      </c>
      <c r="U68" s="3">
        <v>166</v>
      </c>
      <c r="V68" s="31">
        <v>156</v>
      </c>
      <c r="W68" s="3">
        <v>129</v>
      </c>
      <c r="X68" s="2">
        <v>152</v>
      </c>
      <c r="Y68" s="1">
        <f>Pivot!M45</f>
        <v>154</v>
      </c>
      <c r="Z68" s="1">
        <f>Pivot!N45</f>
        <v>138</v>
      </c>
      <c r="AA68" s="1">
        <f>Pivot!O45</f>
        <v>114</v>
      </c>
      <c r="AB68" s="1">
        <f>Pivot!P45</f>
        <v>183</v>
      </c>
      <c r="AC68" s="1">
        <f>Pivot!Q45</f>
        <v>118</v>
      </c>
      <c r="AD68" s="1">
        <f>Pivot!R45</f>
        <v>167</v>
      </c>
    </row>
    <row r="69" spans="1:30" ht="12.75" customHeight="1">
      <c r="A69" s="2" t="str">
        <f>Pivot!A46</f>
        <v>Central Methodist University-CLAS</v>
      </c>
      <c r="B69" s="26">
        <f>Pivot!L46</f>
        <v>0</v>
      </c>
      <c r="C69" s="27">
        <v>153</v>
      </c>
      <c r="D69" s="1">
        <v>199</v>
      </c>
      <c r="E69" s="1">
        <v>205</v>
      </c>
      <c r="F69" s="1">
        <v>222</v>
      </c>
      <c r="G69" s="1">
        <v>216</v>
      </c>
      <c r="H69" s="1">
        <v>198</v>
      </c>
      <c r="I69" s="1">
        <v>204</v>
      </c>
      <c r="J69" s="1">
        <v>214</v>
      </c>
      <c r="K69" s="1">
        <v>230</v>
      </c>
      <c r="L69" s="1">
        <v>239</v>
      </c>
      <c r="M69" s="1">
        <v>210</v>
      </c>
      <c r="N69" s="1">
        <v>238</v>
      </c>
      <c r="O69" s="1">
        <v>203</v>
      </c>
      <c r="P69" s="1">
        <v>230</v>
      </c>
      <c r="Q69" s="1">
        <v>206</v>
      </c>
      <c r="R69" s="1">
        <v>229</v>
      </c>
      <c r="S69" s="1">
        <v>228</v>
      </c>
      <c r="T69" s="28">
        <v>235</v>
      </c>
      <c r="U69" s="3">
        <v>219</v>
      </c>
      <c r="V69" s="31">
        <v>244</v>
      </c>
      <c r="W69" s="3">
        <v>233</v>
      </c>
      <c r="X69" s="2">
        <v>223</v>
      </c>
      <c r="Y69" s="1">
        <f>Pivot!M46</f>
        <v>0</v>
      </c>
      <c r="Z69" s="1">
        <f>Pivot!N46</f>
        <v>0</v>
      </c>
      <c r="AA69" s="1">
        <f>Pivot!O46</f>
        <v>0</v>
      </c>
      <c r="AB69" s="1">
        <f>Pivot!P46</f>
        <v>0</v>
      </c>
      <c r="AC69" s="1">
        <f>Pivot!Q46</f>
        <v>0</v>
      </c>
      <c r="AD69" s="1">
        <f>Pivot!R46</f>
        <v>0</v>
      </c>
    </row>
    <row r="70" spans="1:30" ht="12.75" customHeight="1">
      <c r="A70" s="2" t="str">
        <f>Pivot!A47</f>
        <v>Central Methodist University-GRES</v>
      </c>
      <c r="B70" s="26">
        <f>Pivot!L47</f>
        <v>193</v>
      </c>
      <c r="C70" s="27">
        <v>124</v>
      </c>
      <c r="D70" s="1">
        <v>300</v>
      </c>
      <c r="E70" s="1">
        <v>309</v>
      </c>
      <c r="F70" s="1">
        <v>250</v>
      </c>
      <c r="G70" s="1">
        <v>89</v>
      </c>
      <c r="H70" s="1">
        <v>79</v>
      </c>
      <c r="I70" s="1">
        <v>87</v>
      </c>
      <c r="J70" s="1">
        <v>359</v>
      </c>
      <c r="K70" s="1">
        <v>440</v>
      </c>
      <c r="L70" s="1">
        <v>348</v>
      </c>
      <c r="M70" s="1">
        <v>292</v>
      </c>
      <c r="N70" s="1">
        <v>297</v>
      </c>
      <c r="O70" s="1">
        <v>326</v>
      </c>
      <c r="P70" s="1">
        <v>258</v>
      </c>
      <c r="Q70" s="1">
        <v>300</v>
      </c>
      <c r="R70" s="1">
        <v>255</v>
      </c>
      <c r="S70" s="1">
        <v>271</v>
      </c>
      <c r="T70" s="28">
        <v>252</v>
      </c>
      <c r="U70" s="3">
        <v>287</v>
      </c>
      <c r="V70" s="31">
        <v>272</v>
      </c>
      <c r="W70" s="3">
        <v>267</v>
      </c>
      <c r="X70" s="2">
        <v>253</v>
      </c>
      <c r="Y70" s="1">
        <f>Pivot!M47</f>
        <v>223</v>
      </c>
      <c r="Z70" s="1">
        <f>Pivot!N47</f>
        <v>205</v>
      </c>
      <c r="AA70" s="1">
        <f>Pivot!O47</f>
        <v>270</v>
      </c>
      <c r="AB70" s="1">
        <f>Pivot!P47</f>
        <v>302</v>
      </c>
      <c r="AC70" s="1">
        <f>Pivot!Q47</f>
        <v>260</v>
      </c>
      <c r="AD70" s="1">
        <f>Pivot!R47</f>
        <v>314</v>
      </c>
    </row>
    <row r="71" spans="1:30" ht="12.75" customHeight="1">
      <c r="A71" s="2" t="str">
        <f>Pivot!A48</f>
        <v>College of the Ozarks</v>
      </c>
      <c r="B71" s="26">
        <f>Pivot!L48</f>
        <v>268</v>
      </c>
      <c r="C71" s="27">
        <v>259</v>
      </c>
      <c r="D71" s="1">
        <v>340</v>
      </c>
      <c r="E71" s="1">
        <v>151</v>
      </c>
      <c r="F71" s="1">
        <v>130</v>
      </c>
      <c r="G71" s="1">
        <v>131</v>
      </c>
      <c r="H71" s="1">
        <v>149</v>
      </c>
      <c r="I71" s="1">
        <v>129</v>
      </c>
      <c r="J71" s="1">
        <v>131</v>
      </c>
      <c r="K71" s="1">
        <v>142</v>
      </c>
      <c r="L71" s="1">
        <v>143</v>
      </c>
      <c r="M71" s="1">
        <v>166</v>
      </c>
      <c r="N71" s="1">
        <v>201</v>
      </c>
      <c r="O71" s="1">
        <v>141</v>
      </c>
      <c r="P71" s="1">
        <v>177</v>
      </c>
      <c r="Q71" s="1">
        <v>184</v>
      </c>
      <c r="R71" s="1">
        <v>132</v>
      </c>
      <c r="S71" s="1">
        <v>404</v>
      </c>
      <c r="T71" s="28">
        <v>689</v>
      </c>
      <c r="U71" s="3">
        <v>147</v>
      </c>
      <c r="V71" s="31">
        <v>149</v>
      </c>
      <c r="W71" s="3">
        <v>137</v>
      </c>
      <c r="X71" s="2">
        <v>141</v>
      </c>
      <c r="Y71" s="1">
        <f>Pivot!M48</f>
        <v>0</v>
      </c>
      <c r="Z71" s="1">
        <f>Pivot!N48</f>
        <v>276</v>
      </c>
      <c r="AA71" s="1">
        <f>Pivot!O48</f>
        <v>282</v>
      </c>
      <c r="AB71" s="1">
        <f>Pivot!P48</f>
        <v>274</v>
      </c>
      <c r="AC71" s="1">
        <f>Pivot!Q48</f>
        <v>244</v>
      </c>
      <c r="AD71" s="1">
        <f>Pivot!R48</f>
        <v>271</v>
      </c>
    </row>
    <row r="72" spans="1:30" ht="12.75" customHeight="1">
      <c r="A72" s="2" t="str">
        <f>Pivot!A49</f>
        <v>Columbia College</v>
      </c>
      <c r="B72" s="26">
        <f>Pivot!L49</f>
        <v>166</v>
      </c>
      <c r="C72" s="27">
        <v>192</v>
      </c>
      <c r="D72" s="1">
        <v>192</v>
      </c>
      <c r="E72" s="1">
        <v>238</v>
      </c>
      <c r="F72" s="1">
        <v>254</v>
      </c>
      <c r="G72" s="1">
        <v>271</v>
      </c>
      <c r="H72" s="1">
        <v>295</v>
      </c>
      <c r="I72" s="1">
        <v>351</v>
      </c>
      <c r="J72" s="1">
        <v>330</v>
      </c>
      <c r="K72" s="1">
        <v>296</v>
      </c>
      <c r="L72" s="1">
        <v>343</v>
      </c>
      <c r="M72" s="1">
        <v>287</v>
      </c>
      <c r="N72" s="1">
        <v>274</v>
      </c>
      <c r="O72" s="1">
        <v>279</v>
      </c>
      <c r="P72" s="1">
        <v>262</v>
      </c>
      <c r="Q72" s="1">
        <v>276</v>
      </c>
      <c r="R72" s="1">
        <v>248</v>
      </c>
      <c r="S72" s="1">
        <v>213</v>
      </c>
      <c r="T72" s="28">
        <v>175</v>
      </c>
      <c r="U72" s="3">
        <v>214</v>
      </c>
      <c r="V72" s="31">
        <v>199</v>
      </c>
      <c r="W72" s="3">
        <v>224</v>
      </c>
      <c r="X72" s="2">
        <v>219</v>
      </c>
      <c r="Y72" s="1">
        <f>Pivot!M49</f>
        <v>151</v>
      </c>
      <c r="Z72" s="1">
        <f>Pivot!N49</f>
        <v>171</v>
      </c>
      <c r="AA72" s="1">
        <f>Pivot!O49</f>
        <v>195</v>
      </c>
      <c r="AB72" s="1">
        <f>Pivot!P49</f>
        <v>207</v>
      </c>
      <c r="AC72" s="1">
        <f>Pivot!Q49</f>
        <v>165</v>
      </c>
      <c r="AD72" s="1">
        <f>Pivot!R49</f>
        <v>719</v>
      </c>
    </row>
    <row r="73" spans="1:30" ht="12.75" customHeight="1">
      <c r="A73" s="2" t="str">
        <f>Pivot!A50</f>
        <v>Culver-Stockton College</v>
      </c>
      <c r="B73" s="26">
        <f>Pivot!L50</f>
        <v>182</v>
      </c>
      <c r="C73" s="27">
        <v>216</v>
      </c>
      <c r="D73" s="1">
        <v>204</v>
      </c>
      <c r="E73" s="1">
        <v>270</v>
      </c>
      <c r="F73" s="1">
        <v>273</v>
      </c>
      <c r="G73" s="1">
        <v>297</v>
      </c>
      <c r="H73" s="1">
        <v>304</v>
      </c>
      <c r="I73" s="1">
        <v>341</v>
      </c>
      <c r="J73" s="1">
        <v>306</v>
      </c>
      <c r="K73" s="1">
        <v>308</v>
      </c>
      <c r="L73" s="1">
        <v>346</v>
      </c>
      <c r="M73" s="1">
        <v>313</v>
      </c>
      <c r="N73" s="1">
        <v>354</v>
      </c>
      <c r="O73" s="1">
        <v>346</v>
      </c>
      <c r="P73" s="1">
        <v>420</v>
      </c>
      <c r="Q73" s="1">
        <v>418</v>
      </c>
      <c r="R73" s="1">
        <v>435</v>
      </c>
      <c r="S73" s="1">
        <v>435</v>
      </c>
      <c r="T73" s="28">
        <v>458</v>
      </c>
      <c r="U73" s="3">
        <v>414</v>
      </c>
      <c r="V73" s="31">
        <v>422</v>
      </c>
      <c r="W73" s="3">
        <v>476</v>
      </c>
      <c r="X73" s="1">
        <v>496</v>
      </c>
      <c r="Y73" s="1">
        <f>Pivot!M50</f>
        <v>155</v>
      </c>
      <c r="Z73" s="1">
        <f>Pivot!N50</f>
        <v>212</v>
      </c>
      <c r="AA73" s="1">
        <f>Pivot!O50</f>
        <v>203</v>
      </c>
      <c r="AB73" s="1">
        <f>Pivot!P50</f>
        <v>227</v>
      </c>
      <c r="AC73" s="1">
        <f>Pivot!Q50</f>
        <v>148</v>
      </c>
      <c r="AD73" s="1">
        <f>Pivot!R50</f>
        <v>212</v>
      </c>
    </row>
    <row r="74" spans="1:30" ht="12.75" customHeight="1">
      <c r="A74" s="2" t="str">
        <f>Pivot!A51</f>
        <v>Drury University</v>
      </c>
      <c r="B74" s="26">
        <f>Pivot!L51</f>
        <v>479</v>
      </c>
      <c r="C74" s="27">
        <v>474</v>
      </c>
      <c r="D74" s="1">
        <v>434</v>
      </c>
      <c r="E74" s="1">
        <v>560</v>
      </c>
      <c r="F74" s="1">
        <v>414</v>
      </c>
      <c r="G74" s="1">
        <v>377</v>
      </c>
      <c r="H74" s="1">
        <v>368</v>
      </c>
      <c r="I74" s="1">
        <v>368</v>
      </c>
      <c r="J74" s="1">
        <v>411</v>
      </c>
      <c r="K74" s="1">
        <v>405</v>
      </c>
      <c r="L74" s="33" t="s">
        <v>24</v>
      </c>
      <c r="M74" s="1">
        <v>351</v>
      </c>
      <c r="N74" s="33" t="s">
        <v>24</v>
      </c>
      <c r="O74" s="1">
        <v>394</v>
      </c>
      <c r="P74" s="1">
        <v>383</v>
      </c>
      <c r="Q74" s="1">
        <v>405</v>
      </c>
      <c r="R74" s="1">
        <v>412</v>
      </c>
      <c r="S74" s="1">
        <v>406</v>
      </c>
      <c r="T74" s="28">
        <v>318</v>
      </c>
      <c r="U74" s="3">
        <v>453</v>
      </c>
      <c r="V74" s="31">
        <v>402</v>
      </c>
      <c r="W74" s="3">
        <v>442</v>
      </c>
      <c r="X74" s="1">
        <v>440</v>
      </c>
      <c r="Y74" s="1">
        <f>Pivot!M51</f>
        <v>489</v>
      </c>
      <c r="Z74" s="1">
        <f>Pivot!N51</f>
        <v>526</v>
      </c>
      <c r="AA74" s="1">
        <f>Pivot!O51</f>
        <v>540</v>
      </c>
      <c r="AB74" s="1">
        <f>Pivot!P51</f>
        <v>484</v>
      </c>
      <c r="AC74" s="1">
        <f>Pivot!Q51</f>
        <v>556</v>
      </c>
      <c r="AD74" s="1">
        <f>Pivot!R51</f>
        <v>581</v>
      </c>
    </row>
    <row r="75" spans="1:30" ht="12.75" customHeight="1">
      <c r="A75" s="2" t="str">
        <f>Pivot!A52</f>
        <v>Evangel University</v>
      </c>
      <c r="B75" s="26">
        <f>Pivot!L52</f>
        <v>423</v>
      </c>
      <c r="C75" s="27">
        <v>122</v>
      </c>
      <c r="D75" s="1">
        <v>129</v>
      </c>
      <c r="E75" s="1">
        <v>100</v>
      </c>
      <c r="F75" s="1">
        <v>83</v>
      </c>
      <c r="G75" s="1">
        <v>79</v>
      </c>
      <c r="H75" s="1">
        <v>80</v>
      </c>
      <c r="I75" s="1">
        <v>79</v>
      </c>
      <c r="J75" s="1">
        <v>90</v>
      </c>
      <c r="K75" s="1">
        <v>99</v>
      </c>
      <c r="L75" s="1">
        <v>113</v>
      </c>
      <c r="M75" s="1">
        <v>144</v>
      </c>
      <c r="N75" s="1">
        <v>126</v>
      </c>
      <c r="O75" s="1">
        <v>105</v>
      </c>
      <c r="P75" s="1">
        <v>143</v>
      </c>
      <c r="Q75" s="1">
        <v>146</v>
      </c>
      <c r="R75" s="1">
        <v>171</v>
      </c>
      <c r="S75" s="1">
        <v>156</v>
      </c>
      <c r="T75" s="28">
        <v>144</v>
      </c>
      <c r="U75" s="3">
        <v>164</v>
      </c>
      <c r="V75" s="31">
        <v>154</v>
      </c>
      <c r="W75" s="3">
        <v>183</v>
      </c>
      <c r="X75" s="1">
        <v>194</v>
      </c>
      <c r="Y75" s="1">
        <f>Pivot!M52</f>
        <v>423</v>
      </c>
      <c r="Z75" s="1">
        <f>Pivot!N52</f>
        <v>367</v>
      </c>
      <c r="AA75" s="1">
        <f>Pivot!O52</f>
        <v>337</v>
      </c>
      <c r="AB75" s="1">
        <f>Pivot!P52</f>
        <v>338</v>
      </c>
      <c r="AC75" s="1">
        <f>Pivot!Q52</f>
        <v>431</v>
      </c>
      <c r="AD75" s="1">
        <f>Pivot!R52</f>
        <v>399</v>
      </c>
    </row>
    <row r="76" spans="1:30" ht="12.75" customHeight="1">
      <c r="A76" s="2" t="str">
        <f>Pivot!A53</f>
        <v>Fontbonne University</v>
      </c>
      <c r="B76" s="26">
        <f>Pivot!L53</f>
        <v>190</v>
      </c>
      <c r="C76" s="27">
        <v>110</v>
      </c>
      <c r="D76" s="1">
        <v>147</v>
      </c>
      <c r="E76" s="1">
        <v>114</v>
      </c>
      <c r="F76" s="1">
        <v>96</v>
      </c>
      <c r="G76" s="1">
        <v>80</v>
      </c>
      <c r="H76" s="1">
        <v>108</v>
      </c>
      <c r="I76" s="1">
        <v>124</v>
      </c>
      <c r="J76" s="1">
        <v>89</v>
      </c>
      <c r="K76" s="1">
        <v>117</v>
      </c>
      <c r="L76" s="1">
        <v>93</v>
      </c>
      <c r="M76" s="1">
        <v>173</v>
      </c>
      <c r="N76" s="1">
        <v>137</v>
      </c>
      <c r="O76" s="1">
        <v>85</v>
      </c>
      <c r="P76" s="1">
        <v>92</v>
      </c>
      <c r="Q76" s="1">
        <v>103</v>
      </c>
      <c r="R76" s="1">
        <v>143</v>
      </c>
      <c r="S76" s="1">
        <v>158</v>
      </c>
      <c r="T76" s="28">
        <v>125</v>
      </c>
      <c r="U76" s="3">
        <v>143</v>
      </c>
      <c r="V76" s="31">
        <v>165</v>
      </c>
      <c r="W76" s="3">
        <v>170</v>
      </c>
      <c r="X76" s="1">
        <v>154</v>
      </c>
      <c r="Y76" s="1">
        <f>Pivot!M53</f>
        <v>187</v>
      </c>
      <c r="Z76" s="1">
        <f>Pivot!N53</f>
        <v>189</v>
      </c>
      <c r="AA76" s="1">
        <f>Pivot!O53</f>
        <v>193</v>
      </c>
      <c r="AB76" s="1">
        <f>Pivot!P53</f>
        <v>190</v>
      </c>
      <c r="AC76" s="1">
        <f>Pivot!Q53</f>
        <v>174</v>
      </c>
      <c r="AD76" s="1">
        <f>Pivot!R53</f>
        <v>151</v>
      </c>
    </row>
    <row r="77" spans="1:30" ht="12.75" customHeight="1">
      <c r="A77" s="2" t="str">
        <f>Pivot!A54</f>
        <v>Hannibal-Lagrange College</v>
      </c>
      <c r="B77" s="26">
        <f>Pivot!L54</f>
        <v>166</v>
      </c>
      <c r="C77" s="27">
        <v>162</v>
      </c>
      <c r="D77" s="1">
        <v>152</v>
      </c>
      <c r="E77" s="1">
        <v>256</v>
      </c>
      <c r="F77" s="1">
        <v>276</v>
      </c>
      <c r="G77" s="1">
        <v>156</v>
      </c>
      <c r="H77" s="1">
        <v>102</v>
      </c>
      <c r="I77" s="1">
        <v>201</v>
      </c>
      <c r="J77" s="1">
        <v>565</v>
      </c>
      <c r="K77" s="1">
        <v>631</v>
      </c>
      <c r="L77" s="1">
        <v>354</v>
      </c>
      <c r="M77" s="1">
        <v>359</v>
      </c>
      <c r="N77" s="1">
        <v>356</v>
      </c>
      <c r="O77" s="1">
        <v>407</v>
      </c>
      <c r="P77" s="1">
        <v>478</v>
      </c>
      <c r="Q77" s="1">
        <v>522</v>
      </c>
      <c r="R77" s="1">
        <v>625</v>
      </c>
      <c r="S77" s="1">
        <v>621</v>
      </c>
      <c r="T77" s="28">
        <v>583</v>
      </c>
      <c r="U77" s="3">
        <v>780</v>
      </c>
      <c r="V77" s="31">
        <v>567</v>
      </c>
      <c r="W77" s="3">
        <v>674</v>
      </c>
      <c r="X77" s="1">
        <v>781</v>
      </c>
      <c r="Y77" s="1">
        <f>Pivot!M54</f>
        <v>137</v>
      </c>
      <c r="Z77" s="1">
        <f>Pivot!N54</f>
        <v>131</v>
      </c>
      <c r="AA77" s="1">
        <f>Pivot!O54</f>
        <v>143</v>
      </c>
      <c r="AB77" s="1">
        <f>Pivot!P54</f>
        <v>196</v>
      </c>
      <c r="AC77" s="1">
        <f>Pivot!Q54</f>
        <v>183</v>
      </c>
      <c r="AD77" s="1">
        <f>Pivot!R54</f>
        <v>169</v>
      </c>
    </row>
    <row r="78" spans="1:30" ht="12.75" customHeight="1">
      <c r="A78" s="2" t="str">
        <f>Pivot!A55</f>
        <v>Lindenwood University</v>
      </c>
      <c r="B78" s="26">
        <f>Pivot!L55</f>
        <v>917</v>
      </c>
      <c r="C78" s="27">
        <v>141</v>
      </c>
      <c r="D78" s="1">
        <v>127</v>
      </c>
      <c r="E78" s="1">
        <v>104</v>
      </c>
      <c r="F78" s="1">
        <v>112</v>
      </c>
      <c r="G78" s="1">
        <v>105</v>
      </c>
      <c r="H78" s="1">
        <v>122</v>
      </c>
      <c r="I78" s="1">
        <v>128</v>
      </c>
      <c r="J78" s="1">
        <v>91</v>
      </c>
      <c r="K78" s="1">
        <v>117</v>
      </c>
      <c r="L78" s="1">
        <v>103</v>
      </c>
      <c r="M78" s="1">
        <v>130</v>
      </c>
      <c r="N78" s="1">
        <v>163</v>
      </c>
      <c r="O78" s="1">
        <v>165</v>
      </c>
      <c r="P78" s="1">
        <v>167</v>
      </c>
      <c r="Q78" s="1">
        <v>187</v>
      </c>
      <c r="R78" s="1">
        <v>224</v>
      </c>
      <c r="S78" s="1">
        <v>225</v>
      </c>
      <c r="T78" s="28">
        <v>198</v>
      </c>
      <c r="U78" s="3">
        <v>231</v>
      </c>
      <c r="V78" s="31">
        <v>247</v>
      </c>
      <c r="W78" s="3">
        <v>280</v>
      </c>
      <c r="X78" s="1">
        <v>318</v>
      </c>
      <c r="Y78" s="1">
        <f>Pivot!M55</f>
        <v>820</v>
      </c>
      <c r="Z78" s="1">
        <f>Pivot!N55</f>
        <v>934</v>
      </c>
      <c r="AA78" s="1">
        <f>Pivot!O55</f>
        <v>881</v>
      </c>
      <c r="AB78" s="1">
        <f>Pivot!P55</f>
        <v>1092</v>
      </c>
      <c r="AC78" s="1">
        <f>Pivot!Q55</f>
        <v>1104</v>
      </c>
      <c r="AD78" s="1">
        <f>Pivot!R55</f>
        <v>1034</v>
      </c>
    </row>
    <row r="79" spans="1:30" ht="12.75" customHeight="1">
      <c r="A79" s="2" t="str">
        <f>Pivot!A56</f>
        <v>Maryville University</v>
      </c>
      <c r="B79" s="26">
        <f>Pivot!L56</f>
        <v>313</v>
      </c>
      <c r="C79" s="27">
        <v>49</v>
      </c>
      <c r="D79" s="1">
        <v>113</v>
      </c>
      <c r="E79" s="1">
        <v>173</v>
      </c>
      <c r="F79" s="1">
        <v>69</v>
      </c>
      <c r="G79" s="1">
        <v>76</v>
      </c>
      <c r="H79" s="1">
        <v>102</v>
      </c>
      <c r="I79" s="1">
        <v>105</v>
      </c>
      <c r="J79" s="1">
        <v>101</v>
      </c>
      <c r="K79" s="1">
        <v>85</v>
      </c>
      <c r="L79" s="1">
        <v>88</v>
      </c>
      <c r="M79" s="1">
        <v>99</v>
      </c>
      <c r="N79" s="1">
        <v>98</v>
      </c>
      <c r="O79" s="1">
        <v>114</v>
      </c>
      <c r="P79" s="1">
        <v>172</v>
      </c>
      <c r="Q79" s="1">
        <v>132</v>
      </c>
      <c r="R79" s="1">
        <v>128</v>
      </c>
      <c r="S79" s="1">
        <v>122</v>
      </c>
      <c r="T79" s="28">
        <v>166</v>
      </c>
      <c r="U79" s="3">
        <v>161</v>
      </c>
      <c r="V79" s="31">
        <v>170</v>
      </c>
      <c r="W79" s="3">
        <v>150</v>
      </c>
      <c r="X79" s="1">
        <v>194</v>
      </c>
      <c r="Y79" s="1">
        <f>Pivot!M56</f>
        <v>322</v>
      </c>
      <c r="Z79" s="1">
        <f>Pivot!N56</f>
        <v>290</v>
      </c>
      <c r="AA79" s="1">
        <f>Pivot!O56</f>
        <v>294</v>
      </c>
      <c r="AB79" s="1">
        <f>Pivot!P56</f>
        <v>316</v>
      </c>
      <c r="AC79" s="1">
        <f>Pivot!Q56</f>
        <v>340</v>
      </c>
      <c r="AD79" s="1">
        <f>Pivot!R56</f>
        <v>338</v>
      </c>
    </row>
    <row r="80" spans="1:30" ht="12.75" customHeight="1">
      <c r="A80" s="2" t="str">
        <f>Pivot!A57</f>
        <v>Missouri Baptist University</v>
      </c>
      <c r="B80" s="26">
        <f>Pivot!L57</f>
        <v>220</v>
      </c>
      <c r="C80" s="27">
        <v>141</v>
      </c>
      <c r="D80" s="1">
        <v>133</v>
      </c>
      <c r="E80" s="1">
        <v>151</v>
      </c>
      <c r="F80" s="1">
        <v>229</v>
      </c>
      <c r="G80" s="1">
        <v>296</v>
      </c>
      <c r="H80" s="1">
        <v>330</v>
      </c>
      <c r="I80" s="1">
        <v>467</v>
      </c>
      <c r="J80" s="1">
        <v>397</v>
      </c>
      <c r="K80" s="1">
        <v>308</v>
      </c>
      <c r="L80" s="1">
        <v>333</v>
      </c>
      <c r="M80" s="1">
        <v>370</v>
      </c>
      <c r="N80" s="1">
        <v>315</v>
      </c>
      <c r="O80" s="1">
        <v>408</v>
      </c>
      <c r="P80" s="1">
        <v>411</v>
      </c>
      <c r="Q80" s="1">
        <v>454</v>
      </c>
      <c r="R80" s="1">
        <v>424</v>
      </c>
      <c r="S80" s="1">
        <v>461</v>
      </c>
      <c r="T80" s="28">
        <v>471</v>
      </c>
      <c r="U80" s="3">
        <v>430</v>
      </c>
      <c r="V80" s="31">
        <v>408</v>
      </c>
      <c r="W80" s="3">
        <v>426</v>
      </c>
      <c r="X80" s="1">
        <v>401</v>
      </c>
      <c r="Y80" s="1">
        <f>Pivot!M57</f>
        <v>204</v>
      </c>
      <c r="Z80" s="1">
        <f>Pivot!N57</f>
        <v>186</v>
      </c>
      <c r="AA80" s="1">
        <f>Pivot!O57</f>
        <v>178</v>
      </c>
      <c r="AB80" s="1">
        <f>Pivot!P57</f>
        <v>199</v>
      </c>
      <c r="AC80" s="1">
        <f>Pivot!Q57</f>
        <v>218</v>
      </c>
      <c r="AD80" s="1">
        <f>Pivot!R57</f>
        <v>207</v>
      </c>
    </row>
    <row r="81" spans="1:30" ht="12.75" customHeight="1">
      <c r="A81" s="2" t="str">
        <f>Pivot!A58</f>
        <v>Missouri Valley College</v>
      </c>
      <c r="B81" s="26">
        <f>Pivot!L58</f>
        <v>376</v>
      </c>
      <c r="C81" s="27">
        <v>115</v>
      </c>
      <c r="D81" s="1">
        <v>130</v>
      </c>
      <c r="E81" s="1">
        <v>258</v>
      </c>
      <c r="F81" s="1">
        <v>137</v>
      </c>
      <c r="G81" s="1">
        <v>433</v>
      </c>
      <c r="H81" s="1">
        <v>106</v>
      </c>
      <c r="I81" s="1">
        <v>78</v>
      </c>
      <c r="J81" s="1">
        <v>96</v>
      </c>
      <c r="K81" s="1">
        <v>97</v>
      </c>
      <c r="L81" s="1">
        <v>65</v>
      </c>
      <c r="M81" s="1">
        <v>483</v>
      </c>
      <c r="N81" s="1">
        <v>493</v>
      </c>
      <c r="O81" s="1">
        <v>394</v>
      </c>
      <c r="P81" s="1">
        <v>240</v>
      </c>
      <c r="Q81" s="1">
        <v>117</v>
      </c>
      <c r="R81" s="1">
        <v>106</v>
      </c>
      <c r="S81" s="1">
        <v>107</v>
      </c>
      <c r="T81" s="28">
        <v>139</v>
      </c>
      <c r="U81" s="3">
        <v>148</v>
      </c>
      <c r="V81" s="31">
        <v>132</v>
      </c>
      <c r="W81" s="3">
        <v>149</v>
      </c>
      <c r="X81" s="1">
        <v>94</v>
      </c>
      <c r="Y81" s="1">
        <f>Pivot!M58</f>
        <v>359</v>
      </c>
      <c r="Z81" s="1">
        <f>Pivot!N58</f>
        <v>375</v>
      </c>
      <c r="AA81" s="1">
        <f>Pivot!O58</f>
        <v>441</v>
      </c>
      <c r="AB81" s="1">
        <f>Pivot!P58</f>
        <v>419</v>
      </c>
      <c r="AC81" s="1">
        <f>Pivot!Q58</f>
        <v>428</v>
      </c>
      <c r="AD81" s="1">
        <f>Pivot!R58</f>
        <v>424</v>
      </c>
    </row>
    <row r="82" spans="1:30" ht="12.75" customHeight="1">
      <c r="A82" s="2" t="str">
        <f>Pivot!A59</f>
        <v>Park University</v>
      </c>
      <c r="B82" s="26">
        <f>Pivot!L59</f>
        <v>116</v>
      </c>
      <c r="C82" s="27">
        <v>358</v>
      </c>
      <c r="D82" s="1">
        <v>407</v>
      </c>
      <c r="E82" s="1">
        <v>372</v>
      </c>
      <c r="F82" s="1">
        <v>348</v>
      </c>
      <c r="G82" s="1">
        <v>302</v>
      </c>
      <c r="H82" s="1">
        <v>245</v>
      </c>
      <c r="I82" s="1">
        <v>263</v>
      </c>
      <c r="J82" s="1">
        <v>291</v>
      </c>
      <c r="K82" s="1">
        <v>250</v>
      </c>
      <c r="L82" s="1">
        <v>228</v>
      </c>
      <c r="M82" s="1">
        <v>196</v>
      </c>
      <c r="N82" s="1">
        <v>345</v>
      </c>
      <c r="O82" s="1">
        <v>373</v>
      </c>
      <c r="P82" s="1">
        <v>288</v>
      </c>
      <c r="Q82" s="1">
        <v>362</v>
      </c>
      <c r="R82" s="1">
        <v>319</v>
      </c>
      <c r="S82" s="1">
        <v>280</v>
      </c>
      <c r="T82" s="28">
        <v>303</v>
      </c>
      <c r="U82" s="3">
        <v>270</v>
      </c>
      <c r="V82" s="31">
        <v>295</v>
      </c>
      <c r="W82" s="3">
        <v>213</v>
      </c>
      <c r="X82" s="1">
        <v>244</v>
      </c>
      <c r="Y82" s="1">
        <f>Pivot!M59</f>
        <v>131</v>
      </c>
      <c r="Z82" s="1">
        <f>Pivot!N59</f>
        <v>188</v>
      </c>
      <c r="AA82" s="1">
        <f>Pivot!O59</f>
        <v>167</v>
      </c>
      <c r="AB82" s="1">
        <f>Pivot!P59</f>
        <v>252</v>
      </c>
      <c r="AC82" s="1">
        <f>Pivot!Q59</f>
        <v>202</v>
      </c>
      <c r="AD82" s="1">
        <f>Pivot!R59</f>
        <v>149</v>
      </c>
    </row>
    <row r="83" spans="1:30" ht="12.75" customHeight="1">
      <c r="A83" s="2" t="str">
        <f>Pivot!A60</f>
        <v>Rockhurst University</v>
      </c>
      <c r="B83" s="26">
        <f>Pivot!L60</f>
        <v>305</v>
      </c>
      <c r="C83" s="27">
        <v>676</v>
      </c>
      <c r="D83" s="1">
        <v>696</v>
      </c>
      <c r="E83" s="1">
        <v>888</v>
      </c>
      <c r="F83" s="1">
        <v>733</v>
      </c>
      <c r="G83" s="1">
        <v>583</v>
      </c>
      <c r="H83" s="1">
        <v>682</v>
      </c>
      <c r="I83" s="1">
        <v>887</v>
      </c>
      <c r="J83" s="1">
        <v>916</v>
      </c>
      <c r="K83" s="1">
        <v>856</v>
      </c>
      <c r="L83" s="1">
        <v>774</v>
      </c>
      <c r="M83" s="1">
        <v>907</v>
      </c>
      <c r="N83" s="1">
        <v>950</v>
      </c>
      <c r="O83" s="1">
        <v>969</v>
      </c>
      <c r="P83" s="1">
        <v>945</v>
      </c>
      <c r="Q83" s="1">
        <v>969</v>
      </c>
      <c r="R83" s="1">
        <v>1119</v>
      </c>
      <c r="S83" s="1">
        <v>1274</v>
      </c>
      <c r="T83" s="28">
        <v>1270</v>
      </c>
      <c r="U83" s="1">
        <v>1405</v>
      </c>
      <c r="V83" s="28">
        <v>1330</v>
      </c>
      <c r="W83" s="1">
        <v>1409</v>
      </c>
      <c r="X83" s="1">
        <v>1377</v>
      </c>
      <c r="Y83" s="1">
        <f>Pivot!M60</f>
        <v>370</v>
      </c>
      <c r="Z83" s="1">
        <f>Pivot!N60</f>
        <v>396</v>
      </c>
      <c r="AA83" s="1">
        <f>Pivot!O60</f>
        <v>367</v>
      </c>
      <c r="AB83" s="1">
        <f>Pivot!P60</f>
        <v>358</v>
      </c>
      <c r="AC83" s="1">
        <f>Pivot!Q60</f>
        <v>417</v>
      </c>
      <c r="AD83" s="1">
        <f>Pivot!R60</f>
        <v>370</v>
      </c>
    </row>
    <row r="84" spans="1:30" ht="12.75" customHeight="1">
      <c r="A84" s="2" t="str">
        <f>Pivot!A61</f>
        <v>Saint Louis University</v>
      </c>
      <c r="B84" s="26">
        <f>Pivot!L61</f>
        <v>1456</v>
      </c>
      <c r="C84" s="27">
        <v>495</v>
      </c>
      <c r="D84" s="1">
        <v>367</v>
      </c>
      <c r="E84" s="1">
        <v>497</v>
      </c>
      <c r="F84" s="1">
        <v>506</v>
      </c>
      <c r="G84" s="1">
        <v>582</v>
      </c>
      <c r="H84" s="1">
        <v>528</v>
      </c>
      <c r="I84" s="1">
        <v>641</v>
      </c>
      <c r="J84" s="1">
        <v>468</v>
      </c>
      <c r="K84" s="1">
        <v>455</v>
      </c>
      <c r="L84" s="1">
        <v>456</v>
      </c>
      <c r="M84" s="1">
        <v>457</v>
      </c>
      <c r="N84" s="1">
        <v>416</v>
      </c>
      <c r="O84" s="1">
        <v>378</v>
      </c>
      <c r="P84" s="1">
        <v>460</v>
      </c>
      <c r="Q84" s="1">
        <v>350</v>
      </c>
      <c r="R84" s="1">
        <v>451</v>
      </c>
      <c r="S84" s="1">
        <v>465</v>
      </c>
      <c r="T84" s="28">
        <v>475</v>
      </c>
      <c r="U84" s="3">
        <v>455</v>
      </c>
      <c r="V84" s="31">
        <v>475</v>
      </c>
      <c r="W84" s="3">
        <v>281</v>
      </c>
      <c r="X84" s="1">
        <v>309</v>
      </c>
      <c r="Y84" s="1">
        <f>Pivot!M61</f>
        <v>1521</v>
      </c>
      <c r="Z84" s="1">
        <f>Pivot!N61</f>
        <v>1564</v>
      </c>
      <c r="AA84" s="1">
        <f>Pivot!O61</f>
        <v>1602</v>
      </c>
      <c r="AB84" s="1">
        <f>Pivot!P61</f>
        <v>1627</v>
      </c>
      <c r="AC84" s="1">
        <f>Pivot!Q61</f>
        <v>1720</v>
      </c>
      <c r="AD84" s="1">
        <f>Pivot!R61</f>
        <v>1726</v>
      </c>
    </row>
    <row r="85" spans="1:30" ht="12.75" customHeight="1">
      <c r="A85" s="2" t="str">
        <f>Pivot!A62</f>
        <v>Southwest Baptist University</v>
      </c>
      <c r="B85" s="26">
        <f>Pivot!L62</f>
        <v>310</v>
      </c>
      <c r="C85" s="27">
        <v>349</v>
      </c>
      <c r="D85" s="1">
        <v>308</v>
      </c>
      <c r="E85" s="1">
        <v>258</v>
      </c>
      <c r="F85" s="1">
        <v>253</v>
      </c>
      <c r="G85" s="1">
        <v>281</v>
      </c>
      <c r="H85" s="1">
        <v>266</v>
      </c>
      <c r="I85" s="1">
        <v>278</v>
      </c>
      <c r="J85" s="1">
        <v>229</v>
      </c>
      <c r="K85" s="1">
        <v>223</v>
      </c>
      <c r="L85" s="1">
        <v>201</v>
      </c>
      <c r="M85" s="1">
        <v>204</v>
      </c>
      <c r="N85" s="1">
        <v>200</v>
      </c>
      <c r="O85" s="1">
        <v>187</v>
      </c>
      <c r="P85" s="1">
        <v>170</v>
      </c>
      <c r="Q85" s="1">
        <v>164</v>
      </c>
      <c r="R85" s="1">
        <v>91</v>
      </c>
      <c r="S85" s="1">
        <v>110</v>
      </c>
      <c r="T85" s="28">
        <v>127</v>
      </c>
      <c r="U85" s="3">
        <v>134</v>
      </c>
      <c r="V85" s="31">
        <v>128</v>
      </c>
      <c r="W85" s="3">
        <v>122</v>
      </c>
      <c r="X85" s="1">
        <v>139</v>
      </c>
      <c r="Y85" s="1">
        <f>Pivot!M62</f>
        <v>305</v>
      </c>
      <c r="Z85" s="1">
        <f>Pivot!N62</f>
        <v>387</v>
      </c>
      <c r="AA85" s="1">
        <f>Pivot!O62</f>
        <v>360</v>
      </c>
      <c r="AB85" s="1">
        <f>Pivot!P62</f>
        <v>400</v>
      </c>
      <c r="AC85" s="1">
        <f>Pivot!Q62</f>
        <v>418</v>
      </c>
      <c r="AD85" s="1">
        <f>Pivot!R62</f>
        <v>365</v>
      </c>
    </row>
    <row r="86" spans="1:30" ht="12.75" customHeight="1">
      <c r="A86" s="2" t="str">
        <f>Pivot!A63</f>
        <v>Stephens College</v>
      </c>
      <c r="B86" s="26">
        <f>Pivot!L63</f>
        <v>157</v>
      </c>
      <c r="C86" s="27">
        <v>1021</v>
      </c>
      <c r="D86" s="1">
        <v>1157</v>
      </c>
      <c r="E86" s="1">
        <v>986</v>
      </c>
      <c r="F86" s="1">
        <v>1039</v>
      </c>
      <c r="G86" s="1">
        <v>1038</v>
      </c>
      <c r="H86" s="1">
        <v>1297</v>
      </c>
      <c r="I86" s="1">
        <v>1212</v>
      </c>
      <c r="J86" s="1">
        <v>1178</v>
      </c>
      <c r="K86" s="1">
        <v>1223</v>
      </c>
      <c r="L86" s="1">
        <v>1171</v>
      </c>
      <c r="M86" s="1">
        <v>1094</v>
      </c>
      <c r="N86" s="1">
        <v>1240</v>
      </c>
      <c r="O86" s="1">
        <v>1255</v>
      </c>
      <c r="P86" s="1">
        <v>1184</v>
      </c>
      <c r="Q86" s="1">
        <v>1296</v>
      </c>
      <c r="R86" s="1">
        <v>1231</v>
      </c>
      <c r="S86" s="1">
        <v>1468</v>
      </c>
      <c r="T86" s="28">
        <v>1372</v>
      </c>
      <c r="U86" s="1">
        <v>1398</v>
      </c>
      <c r="V86" s="28">
        <v>1264</v>
      </c>
      <c r="W86" s="1">
        <v>1330</v>
      </c>
      <c r="X86" s="1">
        <v>1349</v>
      </c>
      <c r="Y86" s="1">
        <f>Pivot!M63</f>
        <v>203</v>
      </c>
      <c r="Z86" s="1">
        <f>Pivot!N63</f>
        <v>225</v>
      </c>
      <c r="AA86" s="1">
        <f>Pivot!O63</f>
        <v>225</v>
      </c>
      <c r="AB86" s="1">
        <f>Pivot!P63</f>
        <v>223</v>
      </c>
      <c r="AC86" s="1">
        <f>Pivot!Q63</f>
        <v>231</v>
      </c>
      <c r="AD86" s="1">
        <f>Pivot!R63</f>
        <v>177</v>
      </c>
    </row>
    <row r="87" spans="1:30" ht="12.75" customHeight="1">
      <c r="A87" s="2" t="str">
        <f>Pivot!A64</f>
        <v>Washington University</v>
      </c>
      <c r="B87" s="26">
        <f>Pivot!L64</f>
        <v>1440</v>
      </c>
      <c r="C87" s="27">
        <v>164</v>
      </c>
      <c r="D87" s="1">
        <v>165</v>
      </c>
      <c r="E87" s="1">
        <v>167</v>
      </c>
      <c r="F87" s="1">
        <v>116</v>
      </c>
      <c r="G87" s="1">
        <v>109</v>
      </c>
      <c r="H87" s="33" t="s">
        <v>24</v>
      </c>
      <c r="I87" s="1">
        <v>175</v>
      </c>
      <c r="J87" s="1">
        <v>199</v>
      </c>
      <c r="K87" s="1">
        <v>217</v>
      </c>
      <c r="L87" s="1">
        <v>192</v>
      </c>
      <c r="M87" s="1">
        <v>204</v>
      </c>
      <c r="N87" s="1">
        <v>218</v>
      </c>
      <c r="O87" s="1">
        <v>195</v>
      </c>
      <c r="P87" s="1">
        <v>221</v>
      </c>
      <c r="Q87" s="1">
        <v>271</v>
      </c>
      <c r="R87" s="1">
        <v>323</v>
      </c>
      <c r="S87" s="1">
        <v>338</v>
      </c>
      <c r="T87" s="28">
        <v>367</v>
      </c>
      <c r="U87" s="3">
        <v>416</v>
      </c>
      <c r="V87" s="31">
        <v>388</v>
      </c>
      <c r="W87" s="3">
        <v>381</v>
      </c>
      <c r="X87" s="1">
        <v>419</v>
      </c>
      <c r="Y87" s="1">
        <f>Pivot!M64</f>
        <v>1376</v>
      </c>
      <c r="Z87" s="1">
        <f>Pivot!N64</f>
        <v>1461</v>
      </c>
      <c r="AA87" s="1">
        <f>Pivot!O64</f>
        <v>1328</v>
      </c>
      <c r="AB87" s="1">
        <f>Pivot!P64</f>
        <v>1417</v>
      </c>
      <c r="AC87" s="1">
        <f>Pivot!Q64</f>
        <v>1501</v>
      </c>
      <c r="AD87" s="1">
        <f>Pivot!R64</f>
        <v>1624</v>
      </c>
    </row>
    <row r="88" spans="1:30" ht="12.75" customHeight="1">
      <c r="A88" s="2" t="str">
        <f>Pivot!A65</f>
        <v>Webster University</v>
      </c>
      <c r="B88" s="26">
        <f>Pivot!L65</f>
        <v>452</v>
      </c>
      <c r="C88" s="27">
        <v>179</v>
      </c>
      <c r="D88" s="1">
        <v>189</v>
      </c>
      <c r="E88" s="1">
        <v>164</v>
      </c>
      <c r="F88" s="1">
        <v>198</v>
      </c>
      <c r="G88" s="1">
        <v>192</v>
      </c>
      <c r="H88" s="1">
        <v>181</v>
      </c>
      <c r="I88" s="1">
        <v>178</v>
      </c>
      <c r="J88" s="1">
        <v>239</v>
      </c>
      <c r="K88" s="1">
        <v>220</v>
      </c>
      <c r="L88" s="1">
        <v>194</v>
      </c>
      <c r="M88" s="1">
        <v>193</v>
      </c>
      <c r="N88" s="1">
        <v>180</v>
      </c>
      <c r="O88" s="1">
        <v>165</v>
      </c>
      <c r="P88" s="1">
        <v>189</v>
      </c>
      <c r="Q88" s="1">
        <v>215</v>
      </c>
      <c r="R88" s="1">
        <v>190</v>
      </c>
      <c r="S88" s="1">
        <v>205</v>
      </c>
      <c r="T88" s="28">
        <v>200</v>
      </c>
      <c r="U88" s="3">
        <v>173</v>
      </c>
      <c r="V88" s="31">
        <v>248</v>
      </c>
      <c r="W88" s="3">
        <v>207</v>
      </c>
      <c r="X88" s="1">
        <v>240</v>
      </c>
      <c r="Y88" s="1">
        <f>Pivot!M65</f>
        <v>393</v>
      </c>
      <c r="Z88" s="1">
        <f>Pivot!N65</f>
        <v>418</v>
      </c>
      <c r="AA88" s="1">
        <f>Pivot!O65</f>
        <v>489</v>
      </c>
      <c r="AB88" s="1">
        <f>Pivot!P65</f>
        <v>411</v>
      </c>
      <c r="AC88" s="1">
        <f>Pivot!Q65</f>
        <v>479</v>
      </c>
      <c r="AD88" s="1">
        <f>Pivot!R65</f>
        <v>412</v>
      </c>
    </row>
    <row r="89" spans="1:30" ht="12.75" customHeight="1">
      <c r="A89" s="2" t="str">
        <f>Pivot!A66</f>
        <v>Westminster College</v>
      </c>
      <c r="B89" s="26">
        <f>Pivot!L66</f>
        <v>231</v>
      </c>
      <c r="C89" s="27">
        <v>287</v>
      </c>
      <c r="D89" s="1">
        <v>388</v>
      </c>
      <c r="E89" s="1">
        <v>387</v>
      </c>
      <c r="F89" s="1">
        <v>366</v>
      </c>
      <c r="G89" s="1">
        <v>392</v>
      </c>
      <c r="H89" s="1">
        <v>340</v>
      </c>
      <c r="I89" s="1">
        <v>340</v>
      </c>
      <c r="J89" s="1">
        <v>336</v>
      </c>
      <c r="K89" s="1">
        <v>363</v>
      </c>
      <c r="L89" s="1">
        <v>306</v>
      </c>
      <c r="M89" s="1">
        <v>354</v>
      </c>
      <c r="N89" s="1">
        <v>314</v>
      </c>
      <c r="O89" s="1">
        <v>315</v>
      </c>
      <c r="P89" s="1">
        <v>278</v>
      </c>
      <c r="Q89" s="1">
        <v>268</v>
      </c>
      <c r="R89" s="1">
        <v>279</v>
      </c>
      <c r="S89" s="1">
        <v>315</v>
      </c>
      <c r="T89" s="28">
        <v>286</v>
      </c>
      <c r="U89" s="3">
        <v>302</v>
      </c>
      <c r="V89" s="31">
        <v>242</v>
      </c>
      <c r="W89" s="3">
        <v>342</v>
      </c>
      <c r="X89" s="1">
        <v>357</v>
      </c>
      <c r="Y89" s="1">
        <f>Pivot!M66</f>
        <v>270</v>
      </c>
      <c r="Z89" s="1">
        <f>Pivot!N66</f>
        <v>279</v>
      </c>
      <c r="AA89" s="1">
        <f>Pivot!O66</f>
        <v>224</v>
      </c>
      <c r="AB89" s="1">
        <f>Pivot!P66</f>
        <v>244</v>
      </c>
      <c r="AC89" s="1">
        <f>Pivot!Q66</f>
        <v>310</v>
      </c>
      <c r="AD89" s="1">
        <f>Pivot!R66</f>
        <v>322</v>
      </c>
    </row>
    <row r="90" spans="1:30" ht="12.75" customHeight="1">
      <c r="A90" s="2" t="str">
        <f>Pivot!A67</f>
        <v>William Jewell College</v>
      </c>
      <c r="B90" s="26">
        <f>Pivot!L67</f>
        <v>328</v>
      </c>
      <c r="C90" s="27">
        <v>215</v>
      </c>
      <c r="D90" s="1">
        <v>194</v>
      </c>
      <c r="E90" s="1">
        <v>221</v>
      </c>
      <c r="F90" s="1">
        <v>226</v>
      </c>
      <c r="G90" s="1">
        <v>241</v>
      </c>
      <c r="H90" s="1">
        <v>231</v>
      </c>
      <c r="I90" s="1">
        <v>226</v>
      </c>
      <c r="J90" s="1">
        <v>200</v>
      </c>
      <c r="K90" s="1">
        <v>209</v>
      </c>
      <c r="L90" s="1">
        <v>180</v>
      </c>
      <c r="M90" s="1">
        <v>214</v>
      </c>
      <c r="N90" s="1">
        <v>207</v>
      </c>
      <c r="O90" s="1">
        <v>158</v>
      </c>
      <c r="P90" s="1">
        <v>141</v>
      </c>
      <c r="Q90" s="1">
        <v>98</v>
      </c>
      <c r="R90" s="1">
        <v>160</v>
      </c>
      <c r="S90" s="1">
        <v>153</v>
      </c>
      <c r="T90" s="28">
        <v>129</v>
      </c>
      <c r="U90" s="3">
        <v>152</v>
      </c>
      <c r="V90" s="31">
        <v>207</v>
      </c>
      <c r="W90" s="3">
        <v>241</v>
      </c>
      <c r="X90" s="1">
        <v>203</v>
      </c>
      <c r="Y90" s="1">
        <f>Pivot!M67</f>
        <v>302</v>
      </c>
      <c r="Z90" s="1">
        <f>Pivot!N67</f>
        <v>248</v>
      </c>
      <c r="AA90" s="1">
        <f>Pivot!O67</f>
        <v>287</v>
      </c>
      <c r="AB90" s="1">
        <f>Pivot!P67</f>
        <v>265</v>
      </c>
      <c r="AC90" s="1">
        <f>Pivot!Q67</f>
        <v>282</v>
      </c>
      <c r="AD90" s="1">
        <f>Pivot!R67</f>
        <v>268</v>
      </c>
    </row>
    <row r="91" spans="1:30" ht="12.75" customHeight="1">
      <c r="A91" s="2" t="str">
        <f>Pivot!A68</f>
        <v>William Woods University</v>
      </c>
      <c r="B91" s="26">
        <f>Pivot!L68</f>
        <v>195</v>
      </c>
      <c r="C91" s="5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55"/>
      <c r="U91" s="3"/>
      <c r="V91" s="56"/>
      <c r="W91" s="3"/>
      <c r="X91" s="1"/>
      <c r="Y91" s="1">
        <f>Pivot!M68</f>
        <v>230</v>
      </c>
      <c r="Z91" s="1">
        <f>Pivot!N68</f>
        <v>195</v>
      </c>
      <c r="AA91" s="1">
        <f>Pivot!O68</f>
        <v>185</v>
      </c>
      <c r="AB91" s="1">
        <f>Pivot!P68</f>
        <v>151</v>
      </c>
      <c r="AC91" s="1">
        <f>Pivot!Q68</f>
        <v>242</v>
      </c>
      <c r="AD91" s="1">
        <f>Pivot!R68</f>
        <v>207</v>
      </c>
    </row>
    <row r="92" spans="1:30" ht="12.75" customHeight="1">
      <c r="A92" s="2" t="s">
        <v>22</v>
      </c>
      <c r="B92" s="26">
        <f>SUM(B68:B91)</f>
        <v>9015</v>
      </c>
      <c r="C92" s="26">
        <f t="shared" ref="C92:AD92" si="2">SUM(C68:C91)</f>
        <v>6138</v>
      </c>
      <c r="D92" s="26">
        <f t="shared" si="2"/>
        <v>6577</v>
      </c>
      <c r="E92" s="26">
        <f t="shared" si="2"/>
        <v>6910</v>
      </c>
      <c r="F92" s="26">
        <f t="shared" si="2"/>
        <v>6452</v>
      </c>
      <c r="G92" s="26">
        <f t="shared" si="2"/>
        <v>6401</v>
      </c>
      <c r="H92" s="26">
        <f t="shared" si="2"/>
        <v>6173</v>
      </c>
      <c r="I92" s="26">
        <f t="shared" si="2"/>
        <v>6926</v>
      </c>
      <c r="J92" s="26">
        <f t="shared" si="2"/>
        <v>7280</v>
      </c>
      <c r="K92" s="26">
        <f t="shared" si="2"/>
        <v>7392</v>
      </c>
      <c r="L92" s="26">
        <f t="shared" si="2"/>
        <v>6358</v>
      </c>
      <c r="M92" s="26">
        <f t="shared" si="2"/>
        <v>7291</v>
      </c>
      <c r="N92" s="26">
        <f t="shared" si="2"/>
        <v>7206</v>
      </c>
      <c r="O92" s="26">
        <f t="shared" si="2"/>
        <v>7473</v>
      </c>
      <c r="P92" s="26">
        <f t="shared" si="2"/>
        <v>7411</v>
      </c>
      <c r="Q92" s="26">
        <f t="shared" si="2"/>
        <v>7534</v>
      </c>
      <c r="R92" s="26">
        <f t="shared" si="2"/>
        <v>7791</v>
      </c>
      <c r="S92" s="26">
        <f t="shared" si="2"/>
        <v>8528</v>
      </c>
      <c r="T92" s="26">
        <f t="shared" si="2"/>
        <v>8595</v>
      </c>
      <c r="U92" s="26">
        <f t="shared" si="2"/>
        <v>8662</v>
      </c>
      <c r="V92" s="26">
        <f t="shared" si="2"/>
        <v>8264</v>
      </c>
      <c r="W92" s="26">
        <f t="shared" si="2"/>
        <v>8466</v>
      </c>
      <c r="X92" s="26">
        <f t="shared" si="2"/>
        <v>8697</v>
      </c>
      <c r="Y92" s="26">
        <f t="shared" si="2"/>
        <v>8725</v>
      </c>
      <c r="Z92" s="26">
        <f t="shared" si="2"/>
        <v>9361</v>
      </c>
      <c r="AA92" s="26">
        <f t="shared" si="2"/>
        <v>9305</v>
      </c>
      <c r="AB92" s="26">
        <f t="shared" si="2"/>
        <v>9775</v>
      </c>
      <c r="AC92" s="26">
        <f t="shared" si="2"/>
        <v>10171</v>
      </c>
      <c r="AD92" s="26">
        <f>SUM(AD68:AD91)</f>
        <v>10606</v>
      </c>
    </row>
    <row r="93" spans="1:30" ht="12.75" customHeight="1">
      <c r="B93" s="4"/>
      <c r="C93" s="24"/>
      <c r="K93" s="1"/>
      <c r="L93" s="1"/>
      <c r="M93" s="1"/>
      <c r="N93" s="1"/>
      <c r="O93" s="1"/>
      <c r="P93" s="1"/>
      <c r="Q93" s="1"/>
      <c r="R93" s="1"/>
      <c r="S93" s="1"/>
      <c r="T93" s="28"/>
      <c r="V93" s="25"/>
    </row>
    <row r="94" spans="1:30" ht="45" customHeight="1">
      <c r="A94" s="23" t="s">
        <v>32</v>
      </c>
      <c r="B94" s="4"/>
      <c r="C94" s="24"/>
      <c r="K94" s="1"/>
      <c r="L94" s="1"/>
      <c r="M94" s="1"/>
      <c r="N94" s="1"/>
      <c r="O94" s="1"/>
      <c r="P94" s="1"/>
      <c r="Q94" s="1"/>
      <c r="R94" s="1"/>
      <c r="S94" s="1"/>
      <c r="T94" s="28"/>
      <c r="V94" s="25"/>
    </row>
    <row r="95" spans="1:30" ht="12.75" customHeight="1">
      <c r="A95" s="23"/>
      <c r="B95" s="4"/>
      <c r="C95" s="24"/>
      <c r="K95" s="1"/>
      <c r="L95" s="1"/>
      <c r="M95" s="1"/>
      <c r="N95" s="1"/>
      <c r="O95" s="1"/>
      <c r="P95" s="1"/>
      <c r="Q95" s="1"/>
      <c r="R95" s="1"/>
      <c r="S95" s="1"/>
      <c r="T95" s="28"/>
      <c r="V95" s="25"/>
    </row>
    <row r="96" spans="1:30" ht="12.75" customHeight="1">
      <c r="A96" s="2" t="str">
        <f>Pivot!A42</f>
        <v>Cottey College</v>
      </c>
      <c r="B96" s="32">
        <f>Pivot!L42</f>
        <v>146</v>
      </c>
      <c r="C96" s="37" t="s">
        <v>24</v>
      </c>
      <c r="D96" s="1">
        <v>201</v>
      </c>
      <c r="E96" s="1">
        <v>184</v>
      </c>
      <c r="F96" s="1">
        <v>210</v>
      </c>
      <c r="G96" s="1">
        <v>186</v>
      </c>
      <c r="H96" s="33" t="s">
        <v>24</v>
      </c>
      <c r="I96" s="1">
        <v>195</v>
      </c>
      <c r="J96" s="1">
        <v>202</v>
      </c>
      <c r="K96" s="1">
        <v>199</v>
      </c>
      <c r="L96" s="1">
        <v>202</v>
      </c>
      <c r="M96" s="1">
        <v>242</v>
      </c>
      <c r="N96" s="1">
        <v>200</v>
      </c>
      <c r="O96" s="1">
        <v>195</v>
      </c>
      <c r="P96" s="1">
        <v>161</v>
      </c>
      <c r="Q96" s="1">
        <v>167</v>
      </c>
      <c r="R96" s="1">
        <v>154</v>
      </c>
      <c r="S96" s="1">
        <v>127</v>
      </c>
      <c r="T96" s="28">
        <v>159</v>
      </c>
      <c r="U96" s="3">
        <v>158</v>
      </c>
      <c r="V96" s="31">
        <v>179</v>
      </c>
      <c r="W96" s="3">
        <v>155</v>
      </c>
      <c r="X96" s="2">
        <v>150</v>
      </c>
      <c r="Y96" s="2">
        <f>Pivot!M42</f>
        <v>184</v>
      </c>
      <c r="Z96" s="2">
        <f>Pivot!N42</f>
        <v>171</v>
      </c>
      <c r="AA96" s="2">
        <f>Pivot!O42</f>
        <v>178</v>
      </c>
      <c r="AB96" s="2">
        <f>Pivot!P42</f>
        <v>178</v>
      </c>
      <c r="AC96" s="2">
        <f>Pivot!Q42</f>
        <v>161</v>
      </c>
      <c r="AD96" s="2">
        <f>Pivot!R42</f>
        <v>167</v>
      </c>
    </row>
    <row r="97" spans="1:30" ht="12.75" customHeight="1">
      <c r="A97" s="2" t="str">
        <f>Pivot!A43</f>
        <v>Wentworth Military Academy</v>
      </c>
      <c r="B97" s="32">
        <f>Pivot!L43</f>
        <v>47</v>
      </c>
      <c r="C97" s="27">
        <v>133</v>
      </c>
      <c r="D97" s="1">
        <v>86</v>
      </c>
      <c r="E97" s="1">
        <v>101</v>
      </c>
      <c r="F97" s="1">
        <v>122</v>
      </c>
      <c r="G97" s="1">
        <v>125</v>
      </c>
      <c r="H97" s="1">
        <v>162</v>
      </c>
      <c r="I97" s="1">
        <v>156</v>
      </c>
      <c r="J97" s="1">
        <v>1</v>
      </c>
      <c r="K97" s="1">
        <v>128</v>
      </c>
      <c r="L97" s="1">
        <v>76</v>
      </c>
      <c r="M97" s="2">
        <v>120</v>
      </c>
      <c r="N97" s="2">
        <v>107</v>
      </c>
      <c r="O97" s="1">
        <v>42</v>
      </c>
      <c r="P97" s="1">
        <v>41</v>
      </c>
      <c r="Q97" s="1">
        <v>55</v>
      </c>
      <c r="R97" s="1">
        <v>82</v>
      </c>
      <c r="S97" s="1">
        <v>70</v>
      </c>
      <c r="T97" s="28">
        <v>60</v>
      </c>
      <c r="U97" s="46">
        <v>62</v>
      </c>
      <c r="V97" s="31">
        <v>45</v>
      </c>
      <c r="W97" s="3">
        <v>78</v>
      </c>
      <c r="X97" s="2">
        <v>54</v>
      </c>
      <c r="Y97" s="2">
        <f>Pivot!M43</f>
        <v>98</v>
      </c>
      <c r="Z97" s="2">
        <f>Pivot!N43</f>
        <v>107</v>
      </c>
      <c r="AA97" s="2">
        <f>Pivot!O43</f>
        <v>163</v>
      </c>
      <c r="AB97" s="2">
        <f>Pivot!P43</f>
        <v>287</v>
      </c>
      <c r="AC97" s="2">
        <f>Pivot!Q43</f>
        <v>65</v>
      </c>
      <c r="AD97" s="2">
        <f>Pivot!R43</f>
        <v>77</v>
      </c>
    </row>
    <row r="98" spans="1:30" ht="12.75" customHeight="1">
      <c r="A98" s="2" t="s">
        <v>22</v>
      </c>
      <c r="B98" s="26">
        <f>SUM(B96:B97)</f>
        <v>193</v>
      </c>
      <c r="C98" s="27">
        <f>SUM(C96:C97)</f>
        <v>133</v>
      </c>
      <c r="D98" s="1">
        <f>SUM(D96:D97)</f>
        <v>287</v>
      </c>
      <c r="E98" s="1">
        <f>SUM(E96:E97)</f>
        <v>285</v>
      </c>
      <c r="F98" s="1">
        <f>SUM(F96:F97)</f>
        <v>332</v>
      </c>
      <c r="G98" s="1">
        <f>SUM(G96:G97)</f>
        <v>311</v>
      </c>
      <c r="H98" s="1">
        <f>SUM(H96:H97)</f>
        <v>162</v>
      </c>
      <c r="I98" s="1">
        <f>SUM(I96:I97)</f>
        <v>351</v>
      </c>
      <c r="J98" s="1">
        <f>SUM(J96:J97)</f>
        <v>203</v>
      </c>
      <c r="K98" s="1">
        <f>SUM(K96:K97)</f>
        <v>327</v>
      </c>
      <c r="L98" s="1">
        <f>SUM(L96:L97)</f>
        <v>278</v>
      </c>
      <c r="M98" s="1">
        <f>SUM(M96:M97)</f>
        <v>362</v>
      </c>
      <c r="N98" s="1">
        <f>SUM(N96:N97)</f>
        <v>307</v>
      </c>
      <c r="O98" s="1">
        <f>SUM(O96:O97)</f>
        <v>237</v>
      </c>
      <c r="P98" s="1">
        <f>SUM(P96:P97)</f>
        <v>202</v>
      </c>
      <c r="Q98" s="1">
        <f>SUM(Q96:Q97)</f>
        <v>222</v>
      </c>
      <c r="R98" s="1">
        <f>SUM(R96:R97)</f>
        <v>236</v>
      </c>
      <c r="S98" s="1">
        <f>SUM(S96:S97)</f>
        <v>197</v>
      </c>
      <c r="T98" s="28">
        <f>SUM(T96:T97)</f>
        <v>219</v>
      </c>
      <c r="U98" s="1">
        <f>SUM(U96:U97)</f>
        <v>220</v>
      </c>
      <c r="V98" s="28">
        <f>SUM(V96:V97)</f>
        <v>224</v>
      </c>
      <c r="W98" s="1">
        <f>SUM(W96:W97)</f>
        <v>233</v>
      </c>
      <c r="X98" s="1">
        <f>SUM(X96:X97)</f>
        <v>204</v>
      </c>
      <c r="Y98" s="1">
        <f>SUM(Y96:Y97)</f>
        <v>282</v>
      </c>
      <c r="Z98" s="1">
        <f>SUM(Z96:Z97)</f>
        <v>278</v>
      </c>
      <c r="AA98" s="1">
        <f>SUM(AA96:AA97)</f>
        <v>341</v>
      </c>
      <c r="AB98" s="1">
        <f>SUM(AB96:AB97)</f>
        <v>465</v>
      </c>
      <c r="AC98" s="1">
        <f>SUM(AC96:AC97)</f>
        <v>226</v>
      </c>
      <c r="AD98" s="1">
        <f>SUM(AD96:AD97)</f>
        <v>244</v>
      </c>
    </row>
    <row r="99" spans="1:30" ht="12.75" customHeight="1">
      <c r="B99" s="4"/>
      <c r="C99" s="24"/>
      <c r="K99" s="1"/>
      <c r="L99" s="1"/>
      <c r="N99" s="1"/>
      <c r="O99" s="1"/>
      <c r="P99" s="1"/>
      <c r="Q99" s="1"/>
      <c r="R99" s="1"/>
      <c r="S99" s="1"/>
      <c r="T99" s="28"/>
      <c r="U99" s="1"/>
      <c r="V99" s="28"/>
      <c r="W99" s="1"/>
      <c r="X99" s="1"/>
      <c r="Y99" s="1"/>
      <c r="Z99" s="1"/>
      <c r="AA99" s="1"/>
      <c r="AB99" s="1"/>
      <c r="AC99" s="1"/>
      <c r="AD99" s="1"/>
    </row>
    <row r="100" spans="1:30" ht="25.5" customHeight="1">
      <c r="A100" s="47" t="s">
        <v>33</v>
      </c>
      <c r="B100" s="26">
        <f>SUM(B92+B98)</f>
        <v>9208</v>
      </c>
      <c r="C100" s="29">
        <f>SUM(C92+C98)</f>
        <v>6271</v>
      </c>
      <c r="D100" s="26">
        <f>SUM(D92+D98)</f>
        <v>6864</v>
      </c>
      <c r="E100" s="26">
        <f>SUM(E92+E98)</f>
        <v>7195</v>
      </c>
      <c r="F100" s="26">
        <f>SUM(F92+F98)</f>
        <v>6784</v>
      </c>
      <c r="G100" s="26">
        <f>SUM(G92+G98)</f>
        <v>6712</v>
      </c>
      <c r="H100" s="26">
        <f>SUM(H92+H98)</f>
        <v>6335</v>
      </c>
      <c r="I100" s="26">
        <f>SUM(I92+I98)</f>
        <v>7277</v>
      </c>
      <c r="J100" s="26">
        <f>SUM(J92+J98)</f>
        <v>7483</v>
      </c>
      <c r="K100" s="26">
        <f>SUM(K92+K98)</f>
        <v>7719</v>
      </c>
      <c r="L100" s="26">
        <f>SUM(L92+L98)</f>
        <v>6636</v>
      </c>
      <c r="M100" s="26">
        <f>SUM(M92+M98)</f>
        <v>7653</v>
      </c>
      <c r="N100" s="26">
        <f>SUM(N92+N98)</f>
        <v>7513</v>
      </c>
      <c r="O100" s="26">
        <f>SUM(O92+O98)</f>
        <v>7710</v>
      </c>
      <c r="P100" s="26">
        <f>SUM(P92+P98)</f>
        <v>7613</v>
      </c>
      <c r="Q100" s="26">
        <f>SUM(Q92+Q98)</f>
        <v>7756</v>
      </c>
      <c r="R100" s="26">
        <f>SUM(R92+R98)</f>
        <v>8027</v>
      </c>
      <c r="S100" s="26">
        <f>SUM(S92+S98)</f>
        <v>8725</v>
      </c>
      <c r="T100" s="30">
        <f>SUM(T92+T98)</f>
        <v>8814</v>
      </c>
      <c r="U100" s="26">
        <f>SUM(U92+U98)</f>
        <v>8882</v>
      </c>
      <c r="V100" s="30">
        <f>SUM(V92+V98)</f>
        <v>8488</v>
      </c>
      <c r="W100" s="26">
        <f>SUM(W92+W98)</f>
        <v>8699</v>
      </c>
      <c r="X100" s="26">
        <f>SUM(X92+X98)</f>
        <v>8901</v>
      </c>
      <c r="Y100" s="26">
        <f>SUM(Y92+Y98)</f>
        <v>9007</v>
      </c>
      <c r="Z100" s="26">
        <f>SUM(Z92+Z98)</f>
        <v>9639</v>
      </c>
      <c r="AA100" s="26">
        <f>SUM(AA92+AA98)</f>
        <v>9646</v>
      </c>
      <c r="AB100" s="26">
        <f>SUM(AB92+AB98)</f>
        <v>10240</v>
      </c>
      <c r="AC100" s="26">
        <f>SUM(AC92+AC98)</f>
        <v>10397</v>
      </c>
      <c r="AD100" s="26">
        <f>SUM(AD92+AD98)</f>
        <v>10850</v>
      </c>
    </row>
    <row r="101" spans="1:30" ht="12.75" customHeight="1">
      <c r="B101" s="4"/>
      <c r="C101" s="24"/>
      <c r="K101" s="1"/>
      <c r="L101" s="1"/>
      <c r="M101" s="1"/>
      <c r="N101" s="1"/>
      <c r="T101" s="25"/>
      <c r="V101" s="25"/>
    </row>
    <row r="102" spans="1:30" ht="12.75" customHeight="1" thickBot="1">
      <c r="A102" s="48" t="s">
        <v>34</v>
      </c>
      <c r="B102" s="38">
        <f>SUM(B52+B100)</f>
        <v>38774</v>
      </c>
      <c r="C102" s="39">
        <f>SUM(C52+C100)</f>
        <v>31292</v>
      </c>
      <c r="D102" s="38">
        <f>SUM(D52+D100)</f>
        <v>31054</v>
      </c>
      <c r="E102" s="38">
        <f>SUM(E52+E100)</f>
        <v>29335</v>
      </c>
      <c r="F102" s="38">
        <f>SUM(F52+F100)</f>
        <v>29114</v>
      </c>
      <c r="G102" s="38">
        <f>SUM(G52+G100)</f>
        <v>26956</v>
      </c>
      <c r="H102" s="38">
        <f>SUM(H52+H100)</f>
        <v>28163</v>
      </c>
      <c r="I102" s="38">
        <f>SUM(I52+I100)</f>
        <v>31015</v>
      </c>
      <c r="J102" s="38">
        <f>SUM(J52+J100)</f>
        <v>32038</v>
      </c>
      <c r="K102" s="38">
        <f>SUM(K52+K100)</f>
        <v>30880</v>
      </c>
      <c r="L102" s="38">
        <f>SUM(L52+L100)</f>
        <v>29161</v>
      </c>
      <c r="M102" s="38">
        <f>SUM(M52+M100)</f>
        <v>29605</v>
      </c>
      <c r="N102" s="38">
        <f>SUM(N52+N100)</f>
        <v>28887</v>
      </c>
      <c r="O102" s="38">
        <f>SUM(O52+O100)</f>
        <v>28974</v>
      </c>
      <c r="P102" s="38">
        <f>SUM(P52+P100)</f>
        <v>29345</v>
      </c>
      <c r="Q102" s="38">
        <f>SUM(Q52+Q100)</f>
        <v>29552</v>
      </c>
      <c r="R102" s="38">
        <f>SUM(R52+R100)</f>
        <v>30054</v>
      </c>
      <c r="S102" s="38">
        <f>SUM(S52+S100)</f>
        <v>32299</v>
      </c>
      <c r="T102" s="40">
        <f>SUM(T52+T100)</f>
        <v>33049</v>
      </c>
      <c r="U102" s="38">
        <f>SUM(U52+U100)</f>
        <v>33558</v>
      </c>
      <c r="V102" s="40">
        <f>SUM(V52+V100)</f>
        <v>34882</v>
      </c>
      <c r="W102" s="38">
        <f>SUM(W52+W100)</f>
        <v>36356</v>
      </c>
      <c r="X102" s="38">
        <f>SUM(X52+X100)</f>
        <v>37624</v>
      </c>
      <c r="Y102" s="38">
        <f>SUM(Y52+Y100)</f>
        <v>39277</v>
      </c>
      <c r="Z102" s="38">
        <f>SUM(Z52+Z100)</f>
        <v>40508</v>
      </c>
      <c r="AA102" s="38">
        <f>SUM(AA52+AA100)</f>
        <v>41713</v>
      </c>
      <c r="AB102" s="38">
        <f>SUM(AB52+AB100)</f>
        <v>43332</v>
      </c>
      <c r="AC102" s="38">
        <f>SUM(AC52+AC100)</f>
        <v>47993</v>
      </c>
      <c r="AD102" s="38">
        <f>SUM(AD52+AD100)</f>
        <v>48830</v>
      </c>
    </row>
    <row r="103" spans="1:30" ht="12.75" customHeight="1" thickTop="1">
      <c r="A103" s="2" t="s">
        <v>27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30" ht="12.75" customHeight="1">
      <c r="A104" s="3" t="s">
        <v>35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30" ht="12.75" customHeight="1">
      <c r="A105" s="3" t="s">
        <v>29</v>
      </c>
      <c r="N105" s="1"/>
    </row>
    <row r="106" spans="1:30" ht="12.75" customHeight="1">
      <c r="N106" s="1"/>
    </row>
    <row r="107" spans="1:30" ht="12.75" customHeight="1">
      <c r="N107" s="1"/>
    </row>
    <row r="108" spans="1:30" ht="12.75" customHeight="1">
      <c r="N108" s="1"/>
    </row>
    <row r="109" spans="1:30" ht="12.75" customHeight="1">
      <c r="N109" s="1"/>
    </row>
    <row r="110" spans="1:30" ht="12.75" customHeight="1">
      <c r="N110" s="1"/>
    </row>
    <row r="111" spans="1:30" ht="12.75" customHeight="1">
      <c r="N111" s="1"/>
    </row>
    <row r="112" spans="1:30" ht="12.75" customHeight="1">
      <c r="N112" s="1"/>
    </row>
    <row r="113" spans="14:14" ht="12.75" customHeight="1">
      <c r="N113" s="1"/>
    </row>
    <row r="114" spans="14:14" ht="12.75" customHeight="1">
      <c r="N114" s="1"/>
    </row>
    <row r="115" spans="14:14" ht="12.75" customHeight="1">
      <c r="N115" s="1"/>
    </row>
    <row r="116" spans="14:14" ht="12.75" customHeight="1">
      <c r="N116" s="1"/>
    </row>
    <row r="117" spans="14:14" ht="12.75" customHeight="1">
      <c r="N117" s="1"/>
    </row>
    <row r="118" spans="14:14" ht="12.75" customHeight="1">
      <c r="N118" s="1"/>
    </row>
    <row r="119" spans="14:14" ht="12.75" customHeight="1">
      <c r="N119" s="1"/>
    </row>
    <row r="120" spans="14:14" ht="12.75" customHeight="1">
      <c r="N120" s="1"/>
    </row>
    <row r="121" spans="14:14" ht="12.75" customHeight="1">
      <c r="N121" s="1"/>
    </row>
    <row r="122" spans="14:14" ht="12.75" customHeight="1">
      <c r="N122" s="1"/>
    </row>
    <row r="123" spans="14:14" ht="12.75" customHeight="1">
      <c r="N123" s="1"/>
    </row>
    <row r="124" spans="14:14" ht="12.75" customHeight="1">
      <c r="N124" s="1"/>
    </row>
    <row r="125" spans="14:14" ht="12.75" customHeight="1">
      <c r="N125" s="1"/>
    </row>
    <row r="126" spans="14:14" ht="12.75" customHeight="1">
      <c r="N126" s="1"/>
    </row>
    <row r="127" spans="14:14" ht="12.75" customHeight="1">
      <c r="N127" s="1"/>
    </row>
    <row r="128" spans="14:14" ht="12.75" customHeight="1">
      <c r="N128" s="1"/>
    </row>
    <row r="129" spans="14:14" ht="12.75" customHeight="1">
      <c r="N129" s="1"/>
    </row>
    <row r="130" spans="14:14" ht="12.75" customHeight="1">
      <c r="N130" s="1"/>
    </row>
    <row r="131" spans="14:14" ht="12.75" customHeight="1">
      <c r="N131" s="1"/>
    </row>
    <row r="132" spans="14:14" ht="12.75" customHeight="1">
      <c r="N132" s="1"/>
    </row>
    <row r="133" spans="14:14" ht="12.75" customHeight="1">
      <c r="N133" s="1"/>
    </row>
    <row r="134" spans="14:14" ht="12.75" customHeight="1">
      <c r="N134" s="1"/>
    </row>
    <row r="135" spans="14:14" ht="12.75" customHeight="1">
      <c r="N135" s="1"/>
    </row>
    <row r="136" spans="14:14" ht="12.75" customHeight="1">
      <c r="N136" s="1"/>
    </row>
    <row r="137" spans="14:14" ht="12.75" customHeight="1">
      <c r="N137" s="1"/>
    </row>
    <row r="138" spans="14:14" ht="12.75" customHeight="1">
      <c r="N138" s="1"/>
    </row>
    <row r="139" spans="14:14" ht="12.75" customHeight="1">
      <c r="N139" s="1"/>
    </row>
    <row r="140" spans="14:14" ht="12.75" customHeight="1">
      <c r="N140" s="1"/>
    </row>
    <row r="141" spans="14:14" ht="12.75" customHeight="1">
      <c r="N141" s="1"/>
    </row>
    <row r="142" spans="14:14" ht="12.75" customHeight="1">
      <c r="N142" s="1"/>
    </row>
    <row r="143" spans="14:14" ht="12.75" customHeight="1">
      <c r="N143" s="1"/>
    </row>
    <row r="144" spans="14:14" ht="12.75" customHeight="1">
      <c r="N144" s="1"/>
    </row>
    <row r="145" spans="14:14" ht="12.75" customHeight="1">
      <c r="N145" s="1"/>
    </row>
    <row r="146" spans="14:14" ht="12.75" customHeight="1">
      <c r="N146" s="1"/>
    </row>
    <row r="147" spans="14:14" ht="12.75" customHeight="1">
      <c r="N147" s="1"/>
    </row>
    <row r="148" spans="14:14" ht="12.75" customHeight="1">
      <c r="N148" s="1"/>
    </row>
    <row r="149" spans="14:14" ht="12.75" customHeight="1">
      <c r="N149" s="1"/>
    </row>
    <row r="150" spans="14:14" ht="12.75" customHeight="1">
      <c r="N150" s="1"/>
    </row>
    <row r="151" spans="14:14" ht="12.75" customHeight="1">
      <c r="N151" s="1"/>
    </row>
    <row r="152" spans="14:14" ht="12.75" customHeight="1">
      <c r="N152" s="1"/>
    </row>
    <row r="153" spans="14:14" ht="12.75" customHeight="1"/>
    <row r="154" spans="14:14" ht="12.75" customHeight="1"/>
    <row r="155" spans="14:14" ht="12.75" customHeight="1"/>
    <row r="156" spans="14:14" ht="12.75" customHeight="1"/>
    <row r="157" spans="14:14" ht="12.75" customHeight="1"/>
    <row r="158" spans="14:14" ht="12.75" customHeight="1"/>
    <row r="159" spans="14:14" ht="12.75" customHeight="1"/>
    <row r="160" spans="14:14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</sheetData>
  <phoneticPr fontId="0" type="noConversion"/>
  <pageMargins left="1.99" right="0.3" top="1" bottom="1" header="0.5" footer="0.5"/>
  <pageSetup scale="83" orientation="portrait" r:id="rId1"/>
  <headerFooter alignWithMargins="0"/>
  <rowBreaks count="1" manualBreakCount="1">
    <brk id="5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S69"/>
  <sheetViews>
    <sheetView workbookViewId="0">
      <selection activeCell="A3" sqref="A3"/>
    </sheetView>
  </sheetViews>
  <sheetFormatPr defaultRowHeight="9"/>
  <cols>
    <col min="1" max="1" width="46.19921875" bestFit="1" customWidth="1"/>
    <col min="2" max="2" width="20.19921875" bestFit="1" customWidth="1"/>
    <col min="3" max="18" width="7.796875" bestFit="1" customWidth="1"/>
    <col min="19" max="19" width="14" bestFit="1" customWidth="1"/>
  </cols>
  <sheetData>
    <row r="3" spans="1:19">
      <c r="A3" s="51" t="s">
        <v>112</v>
      </c>
      <c r="B3" s="51" t="s">
        <v>109</v>
      </c>
    </row>
    <row r="4" spans="1:19">
      <c r="A4" s="51" t="s">
        <v>111</v>
      </c>
      <c r="B4">
        <v>1994</v>
      </c>
      <c r="C4">
        <v>1995</v>
      </c>
      <c r="D4">
        <v>1996</v>
      </c>
      <c r="E4">
        <v>1997</v>
      </c>
      <c r="F4">
        <v>1998</v>
      </c>
      <c r="G4">
        <v>1999</v>
      </c>
      <c r="H4">
        <v>2000</v>
      </c>
      <c r="I4">
        <v>2001</v>
      </c>
      <c r="J4">
        <v>2002</v>
      </c>
      <c r="K4">
        <v>2003</v>
      </c>
      <c r="L4">
        <v>2004</v>
      </c>
      <c r="M4">
        <v>2005</v>
      </c>
      <c r="N4">
        <v>2006</v>
      </c>
      <c r="O4">
        <v>2007</v>
      </c>
      <c r="P4">
        <v>2008</v>
      </c>
      <c r="Q4">
        <v>2009</v>
      </c>
      <c r="R4">
        <v>2010</v>
      </c>
      <c r="S4" t="s">
        <v>110</v>
      </c>
    </row>
    <row r="5" spans="1:19">
      <c r="A5" s="52" t="s">
        <v>45</v>
      </c>
      <c r="B5" s="54">
        <v>10057</v>
      </c>
      <c r="C5" s="54">
        <v>10212</v>
      </c>
      <c r="D5" s="54">
        <v>6083</v>
      </c>
      <c r="E5" s="54">
        <v>6309</v>
      </c>
      <c r="F5" s="54">
        <v>7236</v>
      </c>
      <c r="G5" s="54">
        <v>8517</v>
      </c>
      <c r="H5" s="54">
        <v>8740</v>
      </c>
      <c r="I5" s="54">
        <v>10001</v>
      </c>
      <c r="J5" s="54">
        <v>10585</v>
      </c>
      <c r="K5" s="54">
        <v>11958</v>
      </c>
      <c r="L5" s="54">
        <v>12065</v>
      </c>
      <c r="M5" s="54">
        <v>12149</v>
      </c>
      <c r="N5" s="54">
        <v>12733</v>
      </c>
      <c r="O5" s="54">
        <v>13339</v>
      </c>
      <c r="P5" s="54">
        <v>13590</v>
      </c>
      <c r="Q5" s="54">
        <v>17965</v>
      </c>
      <c r="R5" s="54">
        <v>17594</v>
      </c>
      <c r="S5" s="54">
        <v>189133</v>
      </c>
    </row>
    <row r="6" spans="1:19">
      <c r="A6" s="53" t="s">
        <v>46</v>
      </c>
      <c r="B6" s="54">
        <v>392</v>
      </c>
      <c r="C6" s="54">
        <v>444</v>
      </c>
      <c r="D6" s="54"/>
      <c r="E6" s="54"/>
      <c r="F6" s="54">
        <v>460</v>
      </c>
      <c r="G6" s="54">
        <v>551</v>
      </c>
      <c r="H6" s="54">
        <v>543</v>
      </c>
      <c r="I6" s="54">
        <v>624</v>
      </c>
      <c r="J6" s="54">
        <v>426</v>
      </c>
      <c r="K6" s="54">
        <v>600</v>
      </c>
      <c r="L6" s="54">
        <v>598</v>
      </c>
      <c r="M6" s="54">
        <v>555</v>
      </c>
      <c r="N6" s="54">
        <v>598</v>
      </c>
      <c r="O6" s="54">
        <v>711</v>
      </c>
      <c r="P6" s="54">
        <v>698</v>
      </c>
      <c r="Q6" s="54">
        <v>1533</v>
      </c>
      <c r="R6" s="54">
        <v>820</v>
      </c>
      <c r="S6" s="54">
        <v>9553</v>
      </c>
    </row>
    <row r="7" spans="1:19">
      <c r="A7" s="53" t="s">
        <v>47</v>
      </c>
      <c r="B7" s="54">
        <v>441</v>
      </c>
      <c r="C7" s="54">
        <v>383</v>
      </c>
      <c r="D7" s="54">
        <v>333</v>
      </c>
      <c r="E7" s="54">
        <v>325</v>
      </c>
      <c r="F7" s="54">
        <v>379</v>
      </c>
      <c r="G7" s="54">
        <v>326</v>
      </c>
      <c r="H7" s="54">
        <v>367</v>
      </c>
      <c r="I7" s="54">
        <v>472</v>
      </c>
      <c r="J7" s="54">
        <v>567</v>
      </c>
      <c r="K7" s="54">
        <v>544</v>
      </c>
      <c r="L7" s="54">
        <v>590</v>
      </c>
      <c r="M7" s="54">
        <v>493</v>
      </c>
      <c r="N7" s="54">
        <v>651</v>
      </c>
      <c r="O7" s="54">
        <v>563</v>
      </c>
      <c r="P7" s="54">
        <v>582</v>
      </c>
      <c r="Q7" s="54">
        <v>782</v>
      </c>
      <c r="R7" s="54">
        <v>743</v>
      </c>
      <c r="S7" s="54">
        <v>8541</v>
      </c>
    </row>
    <row r="8" spans="1:19">
      <c r="A8" s="53" t="s">
        <v>48</v>
      </c>
      <c r="B8" s="54">
        <v>931</v>
      </c>
      <c r="C8" s="54">
        <v>964</v>
      </c>
      <c r="D8" s="54">
        <v>899</v>
      </c>
      <c r="E8" s="54">
        <v>640</v>
      </c>
      <c r="F8" s="54">
        <v>765</v>
      </c>
      <c r="G8" s="54">
        <v>785</v>
      </c>
      <c r="H8" s="54">
        <v>791</v>
      </c>
      <c r="I8" s="54">
        <v>778</v>
      </c>
      <c r="J8" s="54">
        <v>818</v>
      </c>
      <c r="K8" s="54">
        <v>836</v>
      </c>
      <c r="L8" s="54">
        <v>846</v>
      </c>
      <c r="M8" s="54">
        <v>885</v>
      </c>
      <c r="N8" s="54">
        <v>857</v>
      </c>
      <c r="O8" s="54">
        <v>994</v>
      </c>
      <c r="P8" s="54">
        <v>977</v>
      </c>
      <c r="Q8" s="54">
        <v>1155</v>
      </c>
      <c r="R8" s="54">
        <v>1229</v>
      </c>
      <c r="S8" s="54">
        <v>15150</v>
      </c>
    </row>
    <row r="9" spans="1:19">
      <c r="A9" s="53" t="s">
        <v>49</v>
      </c>
      <c r="B9" s="54"/>
      <c r="C9" s="54"/>
      <c r="D9" s="54"/>
      <c r="E9" s="54"/>
      <c r="F9" s="54"/>
      <c r="G9" s="54">
        <v>322</v>
      </c>
      <c r="H9" s="54">
        <v>337</v>
      </c>
      <c r="I9" s="54">
        <v>373</v>
      </c>
      <c r="J9" s="54">
        <v>378</v>
      </c>
      <c r="K9" s="54">
        <v>362</v>
      </c>
      <c r="L9" s="54">
        <v>327</v>
      </c>
      <c r="M9" s="54">
        <v>372</v>
      </c>
      <c r="N9" s="54">
        <v>401</v>
      </c>
      <c r="O9" s="54">
        <v>387</v>
      </c>
      <c r="P9" s="54">
        <v>456</v>
      </c>
      <c r="Q9" s="54">
        <v>478</v>
      </c>
      <c r="R9" s="54">
        <v>436</v>
      </c>
      <c r="S9" s="54">
        <v>4629</v>
      </c>
    </row>
    <row r="10" spans="1:19">
      <c r="A10" s="53" t="s">
        <v>50</v>
      </c>
      <c r="B10" s="54"/>
      <c r="C10" s="54"/>
      <c r="D10" s="54"/>
      <c r="E10" s="54"/>
      <c r="F10" s="54"/>
      <c r="G10" s="54"/>
      <c r="H10" s="54"/>
      <c r="I10" s="54"/>
      <c r="J10" s="54">
        <v>194</v>
      </c>
      <c r="K10" s="54">
        <v>259</v>
      </c>
      <c r="L10" s="54">
        <v>229</v>
      </c>
      <c r="M10" s="54">
        <v>315</v>
      </c>
      <c r="N10" s="54">
        <v>344</v>
      </c>
      <c r="O10" s="54">
        <v>336</v>
      </c>
      <c r="P10" s="54">
        <v>477</v>
      </c>
      <c r="Q10" s="54">
        <v>540</v>
      </c>
      <c r="R10" s="54">
        <v>587</v>
      </c>
      <c r="S10" s="54">
        <v>3281</v>
      </c>
    </row>
    <row r="11" spans="1:19">
      <c r="A11" s="53" t="s">
        <v>51</v>
      </c>
      <c r="B11" s="54"/>
      <c r="C11" s="54"/>
      <c r="D11" s="54"/>
      <c r="E11" s="54"/>
      <c r="F11" s="54"/>
      <c r="G11" s="54"/>
      <c r="H11" s="54"/>
      <c r="I11" s="54"/>
      <c r="J11" s="54">
        <v>29</v>
      </c>
      <c r="K11" s="54">
        <v>28</v>
      </c>
      <c r="L11" s="54">
        <v>21</v>
      </c>
      <c r="M11" s="54">
        <v>43</v>
      </c>
      <c r="N11" s="54">
        <v>74</v>
      </c>
      <c r="O11" s="54">
        <v>77</v>
      </c>
      <c r="P11" s="54">
        <v>59</v>
      </c>
      <c r="Q11" s="54">
        <v>94</v>
      </c>
      <c r="R11" s="54">
        <v>96</v>
      </c>
      <c r="S11" s="54">
        <v>521</v>
      </c>
    </row>
    <row r="12" spans="1:19">
      <c r="A12" s="53" t="s">
        <v>52</v>
      </c>
      <c r="B12" s="54">
        <v>1207</v>
      </c>
      <c r="C12" s="54">
        <v>1181</v>
      </c>
      <c r="D12" s="54">
        <v>535</v>
      </c>
      <c r="E12" s="54">
        <v>514</v>
      </c>
      <c r="F12" s="54">
        <v>570</v>
      </c>
      <c r="G12" s="54">
        <v>639</v>
      </c>
      <c r="H12" s="54">
        <v>663</v>
      </c>
      <c r="I12" s="54">
        <v>518</v>
      </c>
      <c r="J12" s="54">
        <v>583</v>
      </c>
      <c r="K12" s="54">
        <v>433</v>
      </c>
      <c r="L12" s="54">
        <v>457</v>
      </c>
      <c r="M12" s="54">
        <v>665</v>
      </c>
      <c r="N12" s="54">
        <v>663</v>
      </c>
      <c r="O12" s="54">
        <v>841</v>
      </c>
      <c r="P12" s="54">
        <v>978</v>
      </c>
      <c r="Q12" s="54">
        <v>1007</v>
      </c>
      <c r="R12" s="54">
        <v>944</v>
      </c>
      <c r="S12" s="54">
        <v>12398</v>
      </c>
    </row>
    <row r="13" spans="1:19">
      <c r="A13" s="53" t="s">
        <v>53</v>
      </c>
      <c r="B13" s="54">
        <v>510</v>
      </c>
      <c r="C13" s="54">
        <v>453</v>
      </c>
      <c r="D13" s="54">
        <v>259</v>
      </c>
      <c r="E13" s="54">
        <v>263</v>
      </c>
      <c r="F13" s="54">
        <v>346</v>
      </c>
      <c r="G13" s="54">
        <v>354</v>
      </c>
      <c r="H13" s="54">
        <v>431</v>
      </c>
      <c r="I13" s="54">
        <v>417</v>
      </c>
      <c r="J13" s="54">
        <v>430</v>
      </c>
      <c r="K13" s="54">
        <v>392</v>
      </c>
      <c r="L13" s="54">
        <v>398</v>
      </c>
      <c r="M13" s="54">
        <v>571</v>
      </c>
      <c r="N13" s="54">
        <v>582</v>
      </c>
      <c r="O13" s="54">
        <v>663</v>
      </c>
      <c r="P13" s="54">
        <v>640</v>
      </c>
      <c r="Q13" s="54">
        <v>763</v>
      </c>
      <c r="R13" s="54">
        <v>845</v>
      </c>
      <c r="S13" s="54">
        <v>8317</v>
      </c>
    </row>
    <row r="14" spans="1:19">
      <c r="A14" s="53" t="s">
        <v>54</v>
      </c>
      <c r="B14" s="54">
        <v>674</v>
      </c>
      <c r="C14" s="54">
        <v>529</v>
      </c>
      <c r="D14" s="54">
        <v>194</v>
      </c>
      <c r="E14" s="54">
        <v>214</v>
      </c>
      <c r="F14" s="54">
        <v>223</v>
      </c>
      <c r="G14" s="54">
        <v>195</v>
      </c>
      <c r="H14" s="54">
        <v>256</v>
      </c>
      <c r="I14" s="54">
        <v>266</v>
      </c>
      <c r="J14" s="54">
        <v>237</v>
      </c>
      <c r="K14" s="54">
        <v>220</v>
      </c>
      <c r="L14" s="54">
        <v>259</v>
      </c>
      <c r="M14" s="54">
        <v>357</v>
      </c>
      <c r="N14" s="54">
        <v>363</v>
      </c>
      <c r="O14" s="54">
        <v>373</v>
      </c>
      <c r="P14" s="54">
        <v>368</v>
      </c>
      <c r="Q14" s="54">
        <v>432</v>
      </c>
      <c r="R14" s="54">
        <v>373</v>
      </c>
      <c r="S14" s="54">
        <v>5533</v>
      </c>
    </row>
    <row r="15" spans="1:19">
      <c r="A15" s="53" t="s">
        <v>55</v>
      </c>
      <c r="B15" s="54">
        <v>534</v>
      </c>
      <c r="C15" s="54">
        <v>603</v>
      </c>
      <c r="D15" s="54">
        <v>309</v>
      </c>
      <c r="E15" s="54">
        <v>280</v>
      </c>
      <c r="F15" s="54">
        <v>322</v>
      </c>
      <c r="G15" s="54">
        <v>429</v>
      </c>
      <c r="H15" s="54">
        <v>420</v>
      </c>
      <c r="I15" s="54">
        <v>515</v>
      </c>
      <c r="J15" s="54">
        <v>585</v>
      </c>
      <c r="K15" s="54">
        <v>551</v>
      </c>
      <c r="L15" s="54">
        <v>608</v>
      </c>
      <c r="M15" s="54">
        <v>596</v>
      </c>
      <c r="N15" s="54">
        <v>631</v>
      </c>
      <c r="O15" s="54">
        <v>648</v>
      </c>
      <c r="P15" s="54">
        <v>452</v>
      </c>
      <c r="Q15" s="54">
        <v>842</v>
      </c>
      <c r="R15" s="54">
        <v>832</v>
      </c>
      <c r="S15" s="54">
        <v>9157</v>
      </c>
    </row>
    <row r="16" spans="1:19">
      <c r="A16" s="53" t="s">
        <v>56</v>
      </c>
      <c r="B16" s="54">
        <v>286</v>
      </c>
      <c r="C16" s="54">
        <v>263</v>
      </c>
      <c r="D16" s="54">
        <v>217</v>
      </c>
      <c r="E16" s="54">
        <v>209</v>
      </c>
      <c r="F16" s="54"/>
      <c r="G16" s="54">
        <v>278</v>
      </c>
      <c r="H16" s="54">
        <v>306</v>
      </c>
      <c r="I16" s="54">
        <v>338</v>
      </c>
      <c r="J16" s="54">
        <v>366</v>
      </c>
      <c r="K16" s="54">
        <v>392</v>
      </c>
      <c r="L16" s="54">
        <v>342</v>
      </c>
      <c r="M16" s="54">
        <v>342</v>
      </c>
      <c r="N16" s="54">
        <v>293</v>
      </c>
      <c r="O16" s="54">
        <v>349</v>
      </c>
      <c r="P16" s="54">
        <v>442</v>
      </c>
      <c r="Q16" s="54">
        <v>523</v>
      </c>
      <c r="R16" s="54">
        <v>525</v>
      </c>
      <c r="S16" s="54">
        <v>5471</v>
      </c>
    </row>
    <row r="17" spans="1:19">
      <c r="A17" s="53" t="s">
        <v>57</v>
      </c>
      <c r="B17" s="54">
        <v>147</v>
      </c>
      <c r="C17" s="54">
        <v>494</v>
      </c>
      <c r="D17" s="54">
        <v>318</v>
      </c>
      <c r="E17" s="54">
        <v>277</v>
      </c>
      <c r="F17" s="54">
        <v>374</v>
      </c>
      <c r="G17" s="54">
        <v>439</v>
      </c>
      <c r="H17" s="54">
        <v>478</v>
      </c>
      <c r="I17" s="54">
        <v>533</v>
      </c>
      <c r="J17" s="54">
        <v>561</v>
      </c>
      <c r="K17" s="54">
        <v>740</v>
      </c>
      <c r="L17" s="54">
        <v>707</v>
      </c>
      <c r="M17" s="54">
        <v>562</v>
      </c>
      <c r="N17" s="54">
        <v>682</v>
      </c>
      <c r="O17" s="54">
        <v>696</v>
      </c>
      <c r="P17" s="54">
        <v>666</v>
      </c>
      <c r="Q17" s="54">
        <v>893</v>
      </c>
      <c r="R17" s="54">
        <v>780</v>
      </c>
      <c r="S17" s="54">
        <v>9347</v>
      </c>
    </row>
    <row r="18" spans="1:19">
      <c r="A18" s="53" t="s">
        <v>58</v>
      </c>
      <c r="B18" s="54">
        <v>209</v>
      </c>
      <c r="C18" s="54">
        <v>207</v>
      </c>
      <c r="D18" s="54">
        <v>193</v>
      </c>
      <c r="E18" s="54">
        <v>258</v>
      </c>
      <c r="F18" s="54">
        <v>249</v>
      </c>
      <c r="G18" s="54">
        <v>282</v>
      </c>
      <c r="H18" s="54">
        <v>290</v>
      </c>
      <c r="I18" s="54">
        <v>281</v>
      </c>
      <c r="J18" s="54">
        <v>286</v>
      </c>
      <c r="K18" s="54">
        <v>296</v>
      </c>
      <c r="L18" s="54">
        <v>308</v>
      </c>
      <c r="M18" s="54">
        <v>230</v>
      </c>
      <c r="N18" s="54">
        <v>263</v>
      </c>
      <c r="O18" s="54">
        <v>296</v>
      </c>
      <c r="P18" s="54">
        <v>295</v>
      </c>
      <c r="Q18" s="54">
        <v>332</v>
      </c>
      <c r="R18" s="54">
        <v>325</v>
      </c>
      <c r="S18" s="54">
        <v>4600</v>
      </c>
    </row>
    <row r="19" spans="1:19">
      <c r="A19" s="53" t="s">
        <v>59</v>
      </c>
      <c r="B19" s="54">
        <v>491</v>
      </c>
      <c r="C19" s="54">
        <v>630</v>
      </c>
      <c r="D19" s="54">
        <v>379</v>
      </c>
      <c r="E19" s="54">
        <v>508</v>
      </c>
      <c r="F19" s="54">
        <v>542</v>
      </c>
      <c r="G19" s="54">
        <v>722</v>
      </c>
      <c r="H19" s="54">
        <v>843</v>
      </c>
      <c r="I19" s="54">
        <v>1358</v>
      </c>
      <c r="J19" s="54">
        <v>1406</v>
      </c>
      <c r="K19" s="54">
        <v>1530</v>
      </c>
      <c r="L19" s="54">
        <v>1543</v>
      </c>
      <c r="M19" s="54">
        <v>1656</v>
      </c>
      <c r="N19" s="54">
        <v>1622</v>
      </c>
      <c r="O19" s="54">
        <v>1748</v>
      </c>
      <c r="P19" s="54">
        <v>1659</v>
      </c>
      <c r="Q19" s="54">
        <v>2391</v>
      </c>
      <c r="R19" s="54">
        <v>2597</v>
      </c>
      <c r="S19" s="54">
        <v>21625</v>
      </c>
    </row>
    <row r="20" spans="1:19">
      <c r="A20" s="53" t="s">
        <v>60</v>
      </c>
      <c r="B20" s="54">
        <v>1001</v>
      </c>
      <c r="C20" s="54">
        <v>1052</v>
      </c>
      <c r="D20" s="54">
        <v>426</v>
      </c>
      <c r="E20" s="54">
        <v>614</v>
      </c>
      <c r="F20" s="54">
        <v>703</v>
      </c>
      <c r="G20" s="54">
        <v>739</v>
      </c>
      <c r="H20" s="54">
        <v>380</v>
      </c>
      <c r="I20" s="54">
        <v>548</v>
      </c>
      <c r="J20" s="54">
        <v>529</v>
      </c>
      <c r="K20" s="54">
        <v>1129</v>
      </c>
      <c r="L20" s="54">
        <v>1133</v>
      </c>
      <c r="M20" s="54">
        <v>1080</v>
      </c>
      <c r="N20" s="54">
        <v>1170</v>
      </c>
      <c r="O20" s="54">
        <v>1189</v>
      </c>
      <c r="P20" s="54">
        <v>1322</v>
      </c>
      <c r="Q20" s="54">
        <v>1467</v>
      </c>
      <c r="R20" s="54">
        <v>1385</v>
      </c>
      <c r="S20" s="54">
        <v>15867</v>
      </c>
    </row>
    <row r="21" spans="1:19">
      <c r="A21" s="53" t="s">
        <v>61</v>
      </c>
      <c r="B21" s="54">
        <v>733</v>
      </c>
      <c r="C21" s="54">
        <v>714</v>
      </c>
      <c r="D21" s="54">
        <v>549</v>
      </c>
      <c r="E21" s="54">
        <v>568</v>
      </c>
      <c r="F21" s="54">
        <v>550</v>
      </c>
      <c r="G21" s="54">
        <v>562</v>
      </c>
      <c r="H21" s="54">
        <v>513</v>
      </c>
      <c r="I21" s="54">
        <v>653</v>
      </c>
      <c r="J21" s="54">
        <v>761</v>
      </c>
      <c r="K21" s="54">
        <v>777</v>
      </c>
      <c r="L21" s="54">
        <v>727</v>
      </c>
      <c r="M21" s="54">
        <v>739</v>
      </c>
      <c r="N21" s="54">
        <v>687</v>
      </c>
      <c r="O21" s="54">
        <v>650</v>
      </c>
      <c r="P21" s="54">
        <v>740</v>
      </c>
      <c r="Q21" s="54">
        <v>865</v>
      </c>
      <c r="R21" s="54">
        <v>1021</v>
      </c>
      <c r="S21" s="54">
        <v>11809</v>
      </c>
    </row>
    <row r="22" spans="1:19">
      <c r="A22" s="53" t="s">
        <v>62</v>
      </c>
      <c r="B22" s="54">
        <v>686</v>
      </c>
      <c r="C22" s="54">
        <v>652</v>
      </c>
      <c r="D22" s="54">
        <v>309</v>
      </c>
      <c r="E22" s="54">
        <v>275</v>
      </c>
      <c r="F22" s="54">
        <v>256</v>
      </c>
      <c r="G22" s="54">
        <v>308</v>
      </c>
      <c r="H22" s="54">
        <v>392</v>
      </c>
      <c r="I22" s="54">
        <v>426</v>
      </c>
      <c r="J22" s="54">
        <v>581</v>
      </c>
      <c r="K22" s="54">
        <v>517</v>
      </c>
      <c r="L22" s="54">
        <v>517</v>
      </c>
      <c r="M22" s="54">
        <v>478</v>
      </c>
      <c r="N22" s="54">
        <v>544</v>
      </c>
      <c r="O22" s="54">
        <v>483</v>
      </c>
      <c r="P22" s="54">
        <v>526</v>
      </c>
      <c r="Q22" s="54">
        <v>650</v>
      </c>
      <c r="R22" s="54">
        <v>682</v>
      </c>
      <c r="S22" s="54">
        <v>8282</v>
      </c>
    </row>
    <row r="23" spans="1:19">
      <c r="A23" s="53" t="s">
        <v>63</v>
      </c>
      <c r="B23" s="54">
        <v>803</v>
      </c>
      <c r="C23" s="54">
        <v>796</v>
      </c>
      <c r="D23" s="54">
        <v>602</v>
      </c>
      <c r="E23" s="54">
        <v>699</v>
      </c>
      <c r="F23" s="54">
        <v>752</v>
      </c>
      <c r="G23" s="54">
        <v>836</v>
      </c>
      <c r="H23" s="54">
        <v>779</v>
      </c>
      <c r="I23" s="54">
        <v>842</v>
      </c>
      <c r="J23" s="54">
        <v>899</v>
      </c>
      <c r="K23" s="54">
        <v>1151</v>
      </c>
      <c r="L23" s="54">
        <v>1287</v>
      </c>
      <c r="M23" s="54">
        <v>1121</v>
      </c>
      <c r="N23" s="54">
        <v>1161</v>
      </c>
      <c r="O23" s="54">
        <v>959</v>
      </c>
      <c r="P23" s="54">
        <v>1256</v>
      </c>
      <c r="Q23" s="54">
        <v>1417</v>
      </c>
      <c r="R23" s="54">
        <v>1565</v>
      </c>
      <c r="S23" s="54">
        <v>16925</v>
      </c>
    </row>
    <row r="24" spans="1:19">
      <c r="A24" s="53" t="s">
        <v>64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>
        <v>93</v>
      </c>
      <c r="P24" s="54">
        <v>147</v>
      </c>
      <c r="Q24" s="54">
        <v>160</v>
      </c>
      <c r="R24" s="54">
        <v>213</v>
      </c>
      <c r="S24" s="54">
        <v>613</v>
      </c>
    </row>
    <row r="25" spans="1:19">
      <c r="A25" s="53" t="s">
        <v>65</v>
      </c>
      <c r="B25" s="54">
        <v>504</v>
      </c>
      <c r="C25" s="54">
        <v>495</v>
      </c>
      <c r="D25" s="54">
        <v>274</v>
      </c>
      <c r="E25" s="54">
        <v>355</v>
      </c>
      <c r="F25" s="54">
        <v>367</v>
      </c>
      <c r="G25" s="54">
        <v>421</v>
      </c>
      <c r="H25" s="54">
        <v>604</v>
      </c>
      <c r="I25" s="54">
        <v>629</v>
      </c>
      <c r="J25" s="54">
        <v>602</v>
      </c>
      <c r="K25" s="54">
        <v>662</v>
      </c>
      <c r="L25" s="54">
        <v>580</v>
      </c>
      <c r="M25" s="54">
        <v>574</v>
      </c>
      <c r="N25" s="54">
        <v>624</v>
      </c>
      <c r="O25" s="54">
        <v>677</v>
      </c>
      <c r="P25" s="54">
        <v>618</v>
      </c>
      <c r="Q25" s="54">
        <v>902</v>
      </c>
      <c r="R25" s="54">
        <v>901</v>
      </c>
      <c r="S25" s="54">
        <v>9789</v>
      </c>
    </row>
    <row r="26" spans="1:19">
      <c r="A26" s="53" t="s">
        <v>66</v>
      </c>
      <c r="B26" s="54">
        <v>508</v>
      </c>
      <c r="C26" s="54">
        <v>352</v>
      </c>
      <c r="D26" s="54">
        <v>287</v>
      </c>
      <c r="E26" s="54">
        <v>310</v>
      </c>
      <c r="F26" s="54">
        <v>378</v>
      </c>
      <c r="G26" s="54">
        <v>329</v>
      </c>
      <c r="H26" s="54">
        <v>347</v>
      </c>
      <c r="I26" s="54">
        <v>430</v>
      </c>
      <c r="J26" s="54">
        <v>347</v>
      </c>
      <c r="K26" s="54">
        <v>539</v>
      </c>
      <c r="L26" s="54">
        <v>588</v>
      </c>
      <c r="M26" s="54">
        <v>515</v>
      </c>
      <c r="N26" s="54">
        <v>523</v>
      </c>
      <c r="O26" s="54">
        <v>606</v>
      </c>
      <c r="P26" s="54">
        <v>232</v>
      </c>
      <c r="Q26" s="54">
        <v>739</v>
      </c>
      <c r="R26" s="54">
        <v>695</v>
      </c>
      <c r="S26" s="54">
        <v>7725</v>
      </c>
    </row>
    <row r="27" spans="1:19">
      <c r="A27" s="52" t="s">
        <v>67</v>
      </c>
      <c r="B27" s="54">
        <v>16424</v>
      </c>
      <c r="C27" s="54">
        <v>16833</v>
      </c>
      <c r="D27" s="54">
        <v>15395</v>
      </c>
      <c r="E27" s="54">
        <v>15321</v>
      </c>
      <c r="F27" s="54">
        <v>15924</v>
      </c>
      <c r="G27" s="54">
        <v>16052</v>
      </c>
      <c r="H27" s="54">
        <v>16331</v>
      </c>
      <c r="I27" s="54">
        <v>16503</v>
      </c>
      <c r="J27" s="54">
        <v>16462</v>
      </c>
      <c r="K27" s="54">
        <v>16765</v>
      </c>
      <c r="L27" s="54">
        <v>17501</v>
      </c>
      <c r="M27" s="54">
        <v>18121</v>
      </c>
      <c r="N27" s="54">
        <v>18136</v>
      </c>
      <c r="O27" s="54">
        <v>18728</v>
      </c>
      <c r="P27" s="54">
        <v>19502</v>
      </c>
      <c r="Q27" s="54">
        <v>19631</v>
      </c>
      <c r="R27" s="54">
        <v>20386</v>
      </c>
      <c r="S27" s="54">
        <v>294015</v>
      </c>
    </row>
    <row r="28" spans="1:19">
      <c r="A28" s="53" t="s">
        <v>68</v>
      </c>
      <c r="B28" s="54">
        <v>155</v>
      </c>
      <c r="C28" s="54">
        <v>177</v>
      </c>
      <c r="D28" s="54">
        <v>83</v>
      </c>
      <c r="E28" s="54">
        <v>107</v>
      </c>
      <c r="F28" s="54">
        <v>99</v>
      </c>
      <c r="G28" s="54">
        <v>95</v>
      </c>
      <c r="H28" s="54">
        <v>183</v>
      </c>
      <c r="I28" s="54">
        <v>81</v>
      </c>
      <c r="J28" s="54">
        <v>26</v>
      </c>
      <c r="K28" s="54">
        <v>53</v>
      </c>
      <c r="L28" s="54">
        <v>181</v>
      </c>
      <c r="M28" s="54">
        <v>224</v>
      </c>
      <c r="N28" s="54">
        <v>346</v>
      </c>
      <c r="O28" s="54">
        <v>377</v>
      </c>
      <c r="P28" s="54">
        <v>410</v>
      </c>
      <c r="Q28" s="54">
        <v>390</v>
      </c>
      <c r="R28" s="54">
        <v>271</v>
      </c>
      <c r="S28" s="54">
        <v>3258</v>
      </c>
    </row>
    <row r="29" spans="1:19">
      <c r="A29" s="53" t="s">
        <v>69</v>
      </c>
      <c r="B29" s="54">
        <v>459</v>
      </c>
      <c r="C29" s="54">
        <v>498</v>
      </c>
      <c r="D29" s="54">
        <v>412</v>
      </c>
      <c r="E29" s="54">
        <v>345</v>
      </c>
      <c r="F29" s="54">
        <v>436</v>
      </c>
      <c r="G29" s="54">
        <v>560</v>
      </c>
      <c r="H29" s="54">
        <v>521</v>
      </c>
      <c r="I29" s="54">
        <v>469</v>
      </c>
      <c r="J29" s="54">
        <v>427</v>
      </c>
      <c r="K29" s="54">
        <v>481</v>
      </c>
      <c r="L29" s="54">
        <v>601</v>
      </c>
      <c r="M29" s="54">
        <v>601</v>
      </c>
      <c r="N29" s="54">
        <v>552</v>
      </c>
      <c r="O29" s="54">
        <v>578</v>
      </c>
      <c r="P29" s="54">
        <v>546</v>
      </c>
      <c r="Q29" s="54">
        <v>704</v>
      </c>
      <c r="R29" s="54">
        <v>561</v>
      </c>
      <c r="S29" s="54">
        <v>8751</v>
      </c>
    </row>
    <row r="30" spans="1:19">
      <c r="A30" s="53" t="s">
        <v>70</v>
      </c>
      <c r="B30" s="54">
        <v>710</v>
      </c>
      <c r="C30" s="54">
        <v>796</v>
      </c>
      <c r="D30" s="54">
        <v>681</v>
      </c>
      <c r="E30" s="54">
        <v>671</v>
      </c>
      <c r="F30" s="54">
        <v>856</v>
      </c>
      <c r="G30" s="54">
        <v>811</v>
      </c>
      <c r="H30" s="54">
        <v>768</v>
      </c>
      <c r="I30" s="54">
        <v>786</v>
      </c>
      <c r="J30" s="54">
        <v>615</v>
      </c>
      <c r="K30" s="54">
        <v>568</v>
      </c>
      <c r="L30" s="54">
        <v>695</v>
      </c>
      <c r="M30" s="54">
        <v>786</v>
      </c>
      <c r="N30" s="54">
        <v>803</v>
      </c>
      <c r="O30" s="54">
        <v>769</v>
      </c>
      <c r="P30" s="54">
        <v>727</v>
      </c>
      <c r="Q30" s="54">
        <v>814</v>
      </c>
      <c r="R30" s="54">
        <v>849</v>
      </c>
      <c r="S30" s="54">
        <v>12705</v>
      </c>
    </row>
    <row r="31" spans="1:19">
      <c r="A31" s="53" t="s">
        <v>71</v>
      </c>
      <c r="B31" s="54">
        <v>2876</v>
      </c>
      <c r="C31" s="54">
        <v>2575</v>
      </c>
      <c r="D31" s="54">
        <v>2453</v>
      </c>
      <c r="E31" s="54">
        <v>2738</v>
      </c>
      <c r="F31" s="54">
        <v>2603</v>
      </c>
      <c r="G31" s="54">
        <v>2455</v>
      </c>
      <c r="H31" s="54">
        <v>2367</v>
      </c>
      <c r="I31" s="54">
        <v>2371</v>
      </c>
      <c r="J31" s="54">
        <v>2576</v>
      </c>
      <c r="K31" s="54">
        <v>2675</v>
      </c>
      <c r="L31" s="54">
        <v>2697</v>
      </c>
      <c r="M31" s="54">
        <v>2630</v>
      </c>
      <c r="N31" s="54">
        <v>2803</v>
      </c>
      <c r="O31" s="54">
        <v>2682</v>
      </c>
      <c r="P31" s="54">
        <v>2585</v>
      </c>
      <c r="Q31" s="54">
        <v>2629</v>
      </c>
      <c r="R31" s="54">
        <v>2647</v>
      </c>
      <c r="S31" s="54">
        <v>44362</v>
      </c>
    </row>
    <row r="32" spans="1:19">
      <c r="A32" s="53" t="s">
        <v>72</v>
      </c>
      <c r="B32" s="54">
        <v>805</v>
      </c>
      <c r="C32" s="54">
        <v>819</v>
      </c>
      <c r="D32" s="54">
        <v>778</v>
      </c>
      <c r="E32" s="54">
        <v>693</v>
      </c>
      <c r="F32" s="54">
        <v>721</v>
      </c>
      <c r="G32" s="54">
        <v>680</v>
      </c>
      <c r="H32" s="54">
        <v>674</v>
      </c>
      <c r="I32" s="54">
        <v>693</v>
      </c>
      <c r="J32" s="54">
        <v>788</v>
      </c>
      <c r="K32" s="54">
        <v>871</v>
      </c>
      <c r="L32" s="54">
        <v>839</v>
      </c>
      <c r="M32" s="54">
        <v>879</v>
      </c>
      <c r="N32" s="54">
        <v>935</v>
      </c>
      <c r="O32" s="54">
        <v>1028</v>
      </c>
      <c r="P32" s="54">
        <v>1038</v>
      </c>
      <c r="Q32" s="54">
        <v>1104</v>
      </c>
      <c r="R32" s="54">
        <v>1140</v>
      </c>
      <c r="S32" s="54">
        <v>14485</v>
      </c>
    </row>
    <row r="33" spans="1:19">
      <c r="A33" s="53" t="s">
        <v>73</v>
      </c>
      <c r="B33" s="54">
        <v>1016</v>
      </c>
      <c r="C33" s="54">
        <v>1038</v>
      </c>
      <c r="D33" s="54">
        <v>963</v>
      </c>
      <c r="E33" s="54">
        <v>996</v>
      </c>
      <c r="F33" s="54">
        <v>996</v>
      </c>
      <c r="G33" s="54">
        <v>996</v>
      </c>
      <c r="H33" s="54">
        <v>916</v>
      </c>
      <c r="I33" s="54">
        <v>1100</v>
      </c>
      <c r="J33" s="54">
        <v>1135</v>
      </c>
      <c r="K33" s="54">
        <v>996</v>
      </c>
      <c r="L33" s="54">
        <v>1020</v>
      </c>
      <c r="M33" s="54">
        <v>1009</v>
      </c>
      <c r="N33" s="54">
        <v>941</v>
      </c>
      <c r="O33" s="54">
        <v>937</v>
      </c>
      <c r="P33" s="54">
        <v>959</v>
      </c>
      <c r="Q33" s="54">
        <v>1004</v>
      </c>
      <c r="R33" s="54">
        <v>1088</v>
      </c>
      <c r="S33" s="54">
        <v>17110</v>
      </c>
    </row>
    <row r="34" spans="1:19">
      <c r="A34" s="53" t="s">
        <v>74</v>
      </c>
      <c r="B34" s="54">
        <v>1312</v>
      </c>
      <c r="C34" s="54">
        <v>1272</v>
      </c>
      <c r="D34" s="54">
        <v>1172</v>
      </c>
      <c r="E34" s="54">
        <v>1101</v>
      </c>
      <c r="F34" s="54">
        <v>1104</v>
      </c>
      <c r="G34" s="54">
        <v>1209</v>
      </c>
      <c r="H34" s="54">
        <v>1249</v>
      </c>
      <c r="I34" s="54">
        <v>1235</v>
      </c>
      <c r="J34" s="54">
        <v>1190</v>
      </c>
      <c r="K34" s="54">
        <v>1202</v>
      </c>
      <c r="L34" s="54">
        <v>1226</v>
      </c>
      <c r="M34" s="54">
        <v>1328</v>
      </c>
      <c r="N34" s="54">
        <v>1267</v>
      </c>
      <c r="O34" s="54">
        <v>1524</v>
      </c>
      <c r="P34" s="54">
        <v>1523</v>
      </c>
      <c r="Q34" s="54">
        <v>1552</v>
      </c>
      <c r="R34" s="54">
        <v>1456</v>
      </c>
      <c r="S34" s="54">
        <v>21922</v>
      </c>
    </row>
    <row r="35" spans="1:19">
      <c r="A35" s="53" t="s">
        <v>75</v>
      </c>
      <c r="B35" s="54">
        <v>1216</v>
      </c>
      <c r="C35" s="54">
        <v>1447</v>
      </c>
      <c r="D35" s="54">
        <v>1212</v>
      </c>
      <c r="E35" s="54">
        <v>1124</v>
      </c>
      <c r="F35" s="54">
        <v>1240</v>
      </c>
      <c r="G35" s="54">
        <v>1395</v>
      </c>
      <c r="H35" s="54">
        <v>1436</v>
      </c>
      <c r="I35" s="54">
        <v>1505</v>
      </c>
      <c r="J35" s="54">
        <v>1458</v>
      </c>
      <c r="K35" s="54">
        <v>1411</v>
      </c>
      <c r="L35" s="54">
        <v>1392</v>
      </c>
      <c r="M35" s="54">
        <v>1544</v>
      </c>
      <c r="N35" s="54">
        <v>1388</v>
      </c>
      <c r="O35" s="54">
        <v>1651</v>
      </c>
      <c r="P35" s="54">
        <v>1679</v>
      </c>
      <c r="Q35" s="54">
        <v>1644</v>
      </c>
      <c r="R35" s="54">
        <v>1818</v>
      </c>
      <c r="S35" s="54">
        <v>24560</v>
      </c>
    </row>
    <row r="36" spans="1:19">
      <c r="A36" s="53" t="s">
        <v>76</v>
      </c>
      <c r="B36" s="54">
        <v>1544</v>
      </c>
      <c r="C36" s="54">
        <v>1504</v>
      </c>
      <c r="D36" s="54">
        <v>1468</v>
      </c>
      <c r="E36" s="54">
        <v>1656</v>
      </c>
      <c r="F36" s="54">
        <v>1483</v>
      </c>
      <c r="G36" s="54">
        <v>1451</v>
      </c>
      <c r="H36" s="54">
        <v>1400</v>
      </c>
      <c r="I36" s="54">
        <v>1458</v>
      </c>
      <c r="J36" s="54">
        <v>1445</v>
      </c>
      <c r="K36" s="54">
        <v>1312</v>
      </c>
      <c r="L36" s="54">
        <v>1478</v>
      </c>
      <c r="M36" s="54">
        <v>1442</v>
      </c>
      <c r="N36" s="54">
        <v>1365</v>
      </c>
      <c r="O36" s="54">
        <v>1404</v>
      </c>
      <c r="P36" s="54">
        <v>1334</v>
      </c>
      <c r="Q36" s="54">
        <v>1339</v>
      </c>
      <c r="R36" s="54">
        <v>1417</v>
      </c>
      <c r="S36" s="54">
        <v>24500</v>
      </c>
    </row>
    <row r="37" spans="1:19">
      <c r="A37" s="53" t="s">
        <v>77</v>
      </c>
      <c r="B37" s="54">
        <v>1501</v>
      </c>
      <c r="C37" s="54">
        <v>1545</v>
      </c>
      <c r="D37" s="54">
        <v>1276</v>
      </c>
      <c r="E37" s="54">
        <v>1348</v>
      </c>
      <c r="F37" s="54">
        <v>1450</v>
      </c>
      <c r="G37" s="54">
        <v>1335</v>
      </c>
      <c r="H37" s="54">
        <v>1456</v>
      </c>
      <c r="I37" s="54">
        <v>1441</v>
      </c>
      <c r="J37" s="54">
        <v>1252</v>
      </c>
      <c r="K37" s="54">
        <v>1358</v>
      </c>
      <c r="L37" s="54">
        <v>1436</v>
      </c>
      <c r="M37" s="54">
        <v>1501</v>
      </c>
      <c r="N37" s="54">
        <v>1545</v>
      </c>
      <c r="O37" s="54">
        <v>1496</v>
      </c>
      <c r="P37" s="54">
        <v>1586</v>
      </c>
      <c r="Q37" s="54">
        <v>1479</v>
      </c>
      <c r="R37" s="54">
        <v>1547</v>
      </c>
      <c r="S37" s="54">
        <v>24552</v>
      </c>
    </row>
    <row r="38" spans="1:19">
      <c r="A38" s="53" t="s">
        <v>78</v>
      </c>
      <c r="B38" s="54">
        <v>3635</v>
      </c>
      <c r="C38" s="54">
        <v>3845</v>
      </c>
      <c r="D38" s="54">
        <v>3697</v>
      </c>
      <c r="E38" s="54">
        <v>3514</v>
      </c>
      <c r="F38" s="54">
        <v>3787</v>
      </c>
      <c r="G38" s="54">
        <v>3877</v>
      </c>
      <c r="H38" s="54">
        <v>4174</v>
      </c>
      <c r="I38" s="54">
        <v>4113</v>
      </c>
      <c r="J38" s="54">
        <v>4376</v>
      </c>
      <c r="K38" s="54">
        <v>4607</v>
      </c>
      <c r="L38" s="54">
        <v>4631</v>
      </c>
      <c r="M38" s="54">
        <v>4663</v>
      </c>
      <c r="N38" s="54">
        <v>4785</v>
      </c>
      <c r="O38" s="54">
        <v>4904</v>
      </c>
      <c r="P38" s="54">
        <v>5702</v>
      </c>
      <c r="Q38" s="54">
        <v>5499</v>
      </c>
      <c r="R38" s="54">
        <v>6004</v>
      </c>
      <c r="S38" s="54">
        <v>75813</v>
      </c>
    </row>
    <row r="39" spans="1:19">
      <c r="A39" s="53" t="s">
        <v>79</v>
      </c>
      <c r="B39" s="54">
        <v>526</v>
      </c>
      <c r="C39" s="54">
        <v>602</v>
      </c>
      <c r="D39" s="54">
        <v>568</v>
      </c>
      <c r="E39" s="54">
        <v>570</v>
      </c>
      <c r="F39" s="54">
        <v>620</v>
      </c>
      <c r="G39" s="54">
        <v>647</v>
      </c>
      <c r="H39" s="54">
        <v>689</v>
      </c>
      <c r="I39" s="54">
        <v>736</v>
      </c>
      <c r="J39" s="54">
        <v>748</v>
      </c>
      <c r="K39" s="54">
        <v>765</v>
      </c>
      <c r="L39" s="54">
        <v>906</v>
      </c>
      <c r="M39" s="54">
        <v>1016</v>
      </c>
      <c r="N39" s="54">
        <v>929</v>
      </c>
      <c r="O39" s="54">
        <v>916</v>
      </c>
      <c r="P39" s="54">
        <v>975</v>
      </c>
      <c r="Q39" s="54">
        <v>979</v>
      </c>
      <c r="R39" s="54">
        <v>1109</v>
      </c>
      <c r="S39" s="54">
        <v>13301</v>
      </c>
    </row>
    <row r="40" spans="1:19">
      <c r="A40" s="53" t="s">
        <v>80</v>
      </c>
      <c r="B40" s="54">
        <v>669</v>
      </c>
      <c r="C40" s="54">
        <v>715</v>
      </c>
      <c r="D40" s="54">
        <v>632</v>
      </c>
      <c r="E40" s="54">
        <v>458</v>
      </c>
      <c r="F40" s="54">
        <v>529</v>
      </c>
      <c r="G40" s="54">
        <v>541</v>
      </c>
      <c r="H40" s="54">
        <v>498</v>
      </c>
      <c r="I40" s="54">
        <v>515</v>
      </c>
      <c r="J40" s="54">
        <v>426</v>
      </c>
      <c r="K40" s="54">
        <v>466</v>
      </c>
      <c r="L40" s="54">
        <v>399</v>
      </c>
      <c r="M40" s="54">
        <v>498</v>
      </c>
      <c r="N40" s="54">
        <v>477</v>
      </c>
      <c r="O40" s="54">
        <v>462</v>
      </c>
      <c r="P40" s="54">
        <v>438</v>
      </c>
      <c r="Q40" s="54">
        <v>494</v>
      </c>
      <c r="R40" s="54">
        <v>479</v>
      </c>
      <c r="S40" s="54">
        <v>8696</v>
      </c>
    </row>
    <row r="41" spans="1:19">
      <c r="A41" s="52" t="s">
        <v>81</v>
      </c>
      <c r="B41" s="54"/>
      <c r="C41" s="54"/>
      <c r="D41" s="54"/>
      <c r="E41" s="54"/>
      <c r="F41" s="54"/>
      <c r="G41" s="54"/>
      <c r="H41" s="54">
        <v>220</v>
      </c>
      <c r="I41" s="54">
        <v>224</v>
      </c>
      <c r="J41" s="54">
        <v>233</v>
      </c>
      <c r="K41" s="54">
        <v>150</v>
      </c>
      <c r="L41" s="54">
        <v>193</v>
      </c>
      <c r="M41" s="54">
        <v>282</v>
      </c>
      <c r="N41" s="54">
        <v>278</v>
      </c>
      <c r="O41" s="54">
        <v>341</v>
      </c>
      <c r="P41" s="54">
        <v>465</v>
      </c>
      <c r="Q41" s="54">
        <v>226</v>
      </c>
      <c r="R41" s="54">
        <v>244</v>
      </c>
      <c r="S41" s="54">
        <v>2856</v>
      </c>
    </row>
    <row r="42" spans="1:19">
      <c r="A42" s="53" t="s">
        <v>82</v>
      </c>
      <c r="B42" s="54"/>
      <c r="C42" s="54"/>
      <c r="D42" s="54"/>
      <c r="E42" s="54"/>
      <c r="F42" s="54"/>
      <c r="G42" s="54"/>
      <c r="H42" s="54">
        <v>158</v>
      </c>
      <c r="I42" s="54">
        <v>179</v>
      </c>
      <c r="J42" s="54">
        <v>155</v>
      </c>
      <c r="K42" s="54">
        <v>150</v>
      </c>
      <c r="L42" s="54">
        <v>146</v>
      </c>
      <c r="M42" s="54">
        <v>184</v>
      </c>
      <c r="N42" s="54">
        <v>171</v>
      </c>
      <c r="O42" s="54">
        <v>178</v>
      </c>
      <c r="P42" s="54">
        <v>178</v>
      </c>
      <c r="Q42" s="54">
        <v>161</v>
      </c>
      <c r="R42" s="54">
        <v>167</v>
      </c>
      <c r="S42" s="54">
        <v>1827</v>
      </c>
    </row>
    <row r="43" spans="1:19">
      <c r="A43" s="53" t="s">
        <v>83</v>
      </c>
      <c r="B43" s="54"/>
      <c r="C43" s="54"/>
      <c r="D43" s="54"/>
      <c r="E43" s="54"/>
      <c r="F43" s="54"/>
      <c r="G43" s="54"/>
      <c r="H43" s="54">
        <v>62</v>
      </c>
      <c r="I43" s="54">
        <v>45</v>
      </c>
      <c r="J43" s="54">
        <v>78</v>
      </c>
      <c r="K43" s="54"/>
      <c r="L43" s="54">
        <v>47</v>
      </c>
      <c r="M43" s="54">
        <v>98</v>
      </c>
      <c r="N43" s="54">
        <v>107</v>
      </c>
      <c r="O43" s="54">
        <v>163</v>
      </c>
      <c r="P43" s="54">
        <v>287</v>
      </c>
      <c r="Q43" s="54">
        <v>65</v>
      </c>
      <c r="R43" s="54">
        <v>77</v>
      </c>
      <c r="S43" s="54">
        <v>1029</v>
      </c>
    </row>
    <row r="44" spans="1:19">
      <c r="A44" s="52" t="s">
        <v>84</v>
      </c>
      <c r="B44" s="54"/>
      <c r="C44" s="54"/>
      <c r="D44" s="54"/>
      <c r="E44" s="54"/>
      <c r="F44" s="54"/>
      <c r="G44" s="54"/>
      <c r="H44" s="54">
        <v>8510</v>
      </c>
      <c r="I44" s="54">
        <v>8264</v>
      </c>
      <c r="J44" s="54">
        <v>8466</v>
      </c>
      <c r="K44" s="54">
        <v>8478</v>
      </c>
      <c r="L44" s="54">
        <v>9015</v>
      </c>
      <c r="M44" s="54">
        <v>8725</v>
      </c>
      <c r="N44" s="54">
        <v>9361</v>
      </c>
      <c r="O44" s="54">
        <v>9305</v>
      </c>
      <c r="P44" s="54">
        <v>9775</v>
      </c>
      <c r="Q44" s="54">
        <v>10171</v>
      </c>
      <c r="R44" s="54">
        <v>10606</v>
      </c>
      <c r="S44" s="54">
        <v>100676</v>
      </c>
    </row>
    <row r="45" spans="1:19">
      <c r="A45" s="53" t="s">
        <v>85</v>
      </c>
      <c r="B45" s="54"/>
      <c r="C45" s="54"/>
      <c r="D45" s="54"/>
      <c r="E45" s="54"/>
      <c r="F45" s="54"/>
      <c r="G45" s="54"/>
      <c r="H45" s="54">
        <v>166</v>
      </c>
      <c r="I45" s="54">
        <v>156</v>
      </c>
      <c r="J45" s="54">
        <v>129</v>
      </c>
      <c r="K45" s="54">
        <v>152</v>
      </c>
      <c r="L45" s="54">
        <v>132</v>
      </c>
      <c r="M45" s="54">
        <v>154</v>
      </c>
      <c r="N45" s="54">
        <v>138</v>
      </c>
      <c r="O45" s="54">
        <v>114</v>
      </c>
      <c r="P45" s="54">
        <v>183</v>
      </c>
      <c r="Q45" s="54">
        <v>118</v>
      </c>
      <c r="R45" s="54">
        <v>167</v>
      </c>
      <c r="S45" s="54">
        <v>1609</v>
      </c>
    </row>
    <row r="46" spans="1:19">
      <c r="A46" s="53" t="s">
        <v>86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>
      <c r="A47" s="53" t="s">
        <v>87</v>
      </c>
      <c r="B47" s="54"/>
      <c r="C47" s="54"/>
      <c r="D47" s="54"/>
      <c r="E47" s="54"/>
      <c r="F47" s="54"/>
      <c r="G47" s="54"/>
      <c r="H47" s="54">
        <v>219</v>
      </c>
      <c r="I47" s="54">
        <v>244</v>
      </c>
      <c r="J47" s="54">
        <v>233</v>
      </c>
      <c r="K47" s="54">
        <v>223</v>
      </c>
      <c r="L47" s="54">
        <v>193</v>
      </c>
      <c r="M47" s="54">
        <v>223</v>
      </c>
      <c r="N47" s="54">
        <v>205</v>
      </c>
      <c r="O47" s="54">
        <v>270</v>
      </c>
      <c r="P47" s="54">
        <v>302</v>
      </c>
      <c r="Q47" s="54">
        <v>260</v>
      </c>
      <c r="R47" s="54">
        <v>314</v>
      </c>
      <c r="S47" s="54">
        <v>2686</v>
      </c>
    </row>
    <row r="48" spans="1:19">
      <c r="A48" s="53" t="s">
        <v>88</v>
      </c>
      <c r="B48" s="54"/>
      <c r="C48" s="54"/>
      <c r="D48" s="54"/>
      <c r="E48" s="54"/>
      <c r="F48" s="54"/>
      <c r="G48" s="54"/>
      <c r="H48" s="54">
        <v>287</v>
      </c>
      <c r="I48" s="54">
        <v>272</v>
      </c>
      <c r="J48" s="54">
        <v>267</v>
      </c>
      <c r="K48" s="54">
        <v>253</v>
      </c>
      <c r="L48" s="54">
        <v>268</v>
      </c>
      <c r="M48" s="54"/>
      <c r="N48" s="54">
        <v>276</v>
      </c>
      <c r="O48" s="54">
        <v>282</v>
      </c>
      <c r="P48" s="54">
        <v>274</v>
      </c>
      <c r="Q48" s="54">
        <v>244</v>
      </c>
      <c r="R48" s="54">
        <v>271</v>
      </c>
      <c r="S48" s="54">
        <v>2694</v>
      </c>
    </row>
    <row r="49" spans="1:19">
      <c r="A49" s="53" t="s">
        <v>89</v>
      </c>
      <c r="B49" s="54"/>
      <c r="C49" s="54"/>
      <c r="D49" s="54"/>
      <c r="E49" s="54"/>
      <c r="F49" s="54"/>
      <c r="G49" s="54"/>
      <c r="H49" s="54">
        <v>147</v>
      </c>
      <c r="I49" s="54">
        <v>149</v>
      </c>
      <c r="J49" s="54">
        <v>137</v>
      </c>
      <c r="K49" s="54">
        <v>141</v>
      </c>
      <c r="L49" s="54">
        <v>166</v>
      </c>
      <c r="M49" s="54">
        <v>151</v>
      </c>
      <c r="N49" s="54">
        <v>171</v>
      </c>
      <c r="O49" s="54">
        <v>195</v>
      </c>
      <c r="P49" s="54">
        <v>207</v>
      </c>
      <c r="Q49" s="54">
        <v>165</v>
      </c>
      <c r="R49" s="54">
        <v>719</v>
      </c>
      <c r="S49" s="54">
        <v>2348</v>
      </c>
    </row>
    <row r="50" spans="1:19">
      <c r="A50" s="53" t="s">
        <v>90</v>
      </c>
      <c r="B50" s="54"/>
      <c r="C50" s="54"/>
      <c r="D50" s="54"/>
      <c r="E50" s="54"/>
      <c r="F50" s="54"/>
      <c r="G50" s="54"/>
      <c r="H50" s="54">
        <v>214</v>
      </c>
      <c r="I50" s="54">
        <v>199</v>
      </c>
      <c r="J50" s="54">
        <v>224</v>
      </c>
      <c r="K50" s="54"/>
      <c r="L50" s="54">
        <v>182</v>
      </c>
      <c r="M50" s="54">
        <v>155</v>
      </c>
      <c r="N50" s="54">
        <v>212</v>
      </c>
      <c r="O50" s="54">
        <v>203</v>
      </c>
      <c r="P50" s="54">
        <v>227</v>
      </c>
      <c r="Q50" s="54">
        <v>148</v>
      </c>
      <c r="R50" s="54">
        <v>212</v>
      </c>
      <c r="S50" s="54">
        <v>1976</v>
      </c>
    </row>
    <row r="51" spans="1:19">
      <c r="A51" s="53" t="s">
        <v>91</v>
      </c>
      <c r="B51" s="54"/>
      <c r="C51" s="54"/>
      <c r="D51" s="54"/>
      <c r="E51" s="54"/>
      <c r="F51" s="54"/>
      <c r="G51" s="54"/>
      <c r="H51" s="54">
        <v>414</v>
      </c>
      <c r="I51" s="54">
        <v>422</v>
      </c>
      <c r="J51" s="54">
        <v>476</v>
      </c>
      <c r="K51" s="54">
        <v>496</v>
      </c>
      <c r="L51" s="54">
        <v>479</v>
      </c>
      <c r="M51" s="54">
        <v>489</v>
      </c>
      <c r="N51" s="54">
        <v>526</v>
      </c>
      <c r="O51" s="54">
        <v>540</v>
      </c>
      <c r="P51" s="54">
        <v>484</v>
      </c>
      <c r="Q51" s="54">
        <v>556</v>
      </c>
      <c r="R51" s="54">
        <v>581</v>
      </c>
      <c r="S51" s="54">
        <v>5463</v>
      </c>
    </row>
    <row r="52" spans="1:19">
      <c r="A52" s="53" t="s">
        <v>92</v>
      </c>
      <c r="B52" s="54"/>
      <c r="C52" s="54"/>
      <c r="D52" s="54"/>
      <c r="E52" s="54"/>
      <c r="F52" s="54"/>
      <c r="G52" s="54"/>
      <c r="H52" s="54">
        <v>453</v>
      </c>
      <c r="I52" s="54">
        <v>402</v>
      </c>
      <c r="J52" s="54">
        <v>442</v>
      </c>
      <c r="K52" s="54">
        <v>440</v>
      </c>
      <c r="L52" s="54">
        <v>423</v>
      </c>
      <c r="M52" s="54">
        <v>423</v>
      </c>
      <c r="N52" s="54">
        <v>367</v>
      </c>
      <c r="O52" s="54">
        <v>337</v>
      </c>
      <c r="P52" s="54">
        <v>338</v>
      </c>
      <c r="Q52" s="54">
        <v>431</v>
      </c>
      <c r="R52" s="54">
        <v>399</v>
      </c>
      <c r="S52" s="54">
        <v>4455</v>
      </c>
    </row>
    <row r="53" spans="1:19">
      <c r="A53" s="53" t="s">
        <v>93</v>
      </c>
      <c r="B53" s="54"/>
      <c r="C53" s="54"/>
      <c r="D53" s="54"/>
      <c r="E53" s="54"/>
      <c r="F53" s="54"/>
      <c r="G53" s="54"/>
      <c r="H53" s="54">
        <v>164</v>
      </c>
      <c r="I53" s="54">
        <v>154</v>
      </c>
      <c r="J53" s="54">
        <v>183</v>
      </c>
      <c r="K53" s="54">
        <v>194</v>
      </c>
      <c r="L53" s="54">
        <v>190</v>
      </c>
      <c r="M53" s="54">
        <v>187</v>
      </c>
      <c r="N53" s="54">
        <v>189</v>
      </c>
      <c r="O53" s="54">
        <v>193</v>
      </c>
      <c r="P53" s="54">
        <v>190</v>
      </c>
      <c r="Q53" s="54">
        <v>174</v>
      </c>
      <c r="R53" s="54">
        <v>151</v>
      </c>
      <c r="S53" s="54">
        <v>1969</v>
      </c>
    </row>
    <row r="54" spans="1:19">
      <c r="A54" s="53" t="s">
        <v>94</v>
      </c>
      <c r="B54" s="54"/>
      <c r="C54" s="54"/>
      <c r="D54" s="54"/>
      <c r="E54" s="54"/>
      <c r="F54" s="54"/>
      <c r="G54" s="54"/>
      <c r="H54" s="54">
        <v>143</v>
      </c>
      <c r="I54" s="54">
        <v>165</v>
      </c>
      <c r="J54" s="54">
        <v>170</v>
      </c>
      <c r="K54" s="54">
        <v>154</v>
      </c>
      <c r="L54" s="54">
        <v>166</v>
      </c>
      <c r="M54" s="54">
        <v>137</v>
      </c>
      <c r="N54" s="54">
        <v>131</v>
      </c>
      <c r="O54" s="54">
        <v>143</v>
      </c>
      <c r="P54" s="54">
        <v>196</v>
      </c>
      <c r="Q54" s="54">
        <v>183</v>
      </c>
      <c r="R54" s="54">
        <v>169</v>
      </c>
      <c r="S54" s="54">
        <v>1757</v>
      </c>
    </row>
    <row r="55" spans="1:19">
      <c r="A55" s="53" t="s">
        <v>95</v>
      </c>
      <c r="B55" s="54"/>
      <c r="C55" s="54"/>
      <c r="D55" s="54"/>
      <c r="E55" s="54"/>
      <c r="F55" s="54"/>
      <c r="G55" s="54"/>
      <c r="H55" s="54">
        <v>780</v>
      </c>
      <c r="I55" s="54">
        <v>567</v>
      </c>
      <c r="J55" s="54">
        <v>674</v>
      </c>
      <c r="K55" s="54">
        <v>781</v>
      </c>
      <c r="L55" s="54">
        <v>917</v>
      </c>
      <c r="M55" s="54">
        <v>820</v>
      </c>
      <c r="N55" s="54">
        <v>934</v>
      </c>
      <c r="O55" s="54">
        <v>881</v>
      </c>
      <c r="P55" s="54">
        <v>1092</v>
      </c>
      <c r="Q55" s="54">
        <v>1104</v>
      </c>
      <c r="R55" s="54">
        <v>1034</v>
      </c>
      <c r="S55" s="54">
        <v>9584</v>
      </c>
    </row>
    <row r="56" spans="1:19">
      <c r="A56" s="53" t="s">
        <v>96</v>
      </c>
      <c r="B56" s="54"/>
      <c r="C56" s="54"/>
      <c r="D56" s="54"/>
      <c r="E56" s="54"/>
      <c r="F56" s="54"/>
      <c r="G56" s="54"/>
      <c r="H56" s="54">
        <v>231</v>
      </c>
      <c r="I56" s="54">
        <v>247</v>
      </c>
      <c r="J56" s="54">
        <v>280</v>
      </c>
      <c r="K56" s="54">
        <v>318</v>
      </c>
      <c r="L56" s="54">
        <v>313</v>
      </c>
      <c r="M56" s="54">
        <v>322</v>
      </c>
      <c r="N56" s="54">
        <v>290</v>
      </c>
      <c r="O56" s="54">
        <v>294</v>
      </c>
      <c r="P56" s="54">
        <v>316</v>
      </c>
      <c r="Q56" s="54">
        <v>340</v>
      </c>
      <c r="R56" s="54">
        <v>338</v>
      </c>
      <c r="S56" s="54">
        <v>3289</v>
      </c>
    </row>
    <row r="57" spans="1:19">
      <c r="A57" s="53" t="s">
        <v>97</v>
      </c>
      <c r="B57" s="54"/>
      <c r="C57" s="54"/>
      <c r="D57" s="54"/>
      <c r="E57" s="54"/>
      <c r="F57" s="54"/>
      <c r="G57" s="54"/>
      <c r="H57" s="54">
        <v>161</v>
      </c>
      <c r="I57" s="54">
        <v>170</v>
      </c>
      <c r="J57" s="54">
        <v>150</v>
      </c>
      <c r="K57" s="54">
        <v>194</v>
      </c>
      <c r="L57" s="54">
        <v>220</v>
      </c>
      <c r="M57" s="54">
        <v>204</v>
      </c>
      <c r="N57" s="54">
        <v>186</v>
      </c>
      <c r="O57" s="54">
        <v>178</v>
      </c>
      <c r="P57" s="54">
        <v>199</v>
      </c>
      <c r="Q57" s="54">
        <v>218</v>
      </c>
      <c r="R57" s="54">
        <v>207</v>
      </c>
      <c r="S57" s="54">
        <v>2087</v>
      </c>
    </row>
    <row r="58" spans="1:19">
      <c r="A58" s="53" t="s">
        <v>98</v>
      </c>
      <c r="B58" s="54"/>
      <c r="C58" s="54"/>
      <c r="D58" s="54"/>
      <c r="E58" s="54"/>
      <c r="F58" s="54"/>
      <c r="G58" s="54"/>
      <c r="H58" s="54">
        <v>430</v>
      </c>
      <c r="I58" s="54">
        <v>408</v>
      </c>
      <c r="J58" s="54">
        <v>426</v>
      </c>
      <c r="K58" s="54">
        <v>401</v>
      </c>
      <c r="L58" s="54">
        <v>376</v>
      </c>
      <c r="M58" s="54">
        <v>359</v>
      </c>
      <c r="N58" s="54">
        <v>375</v>
      </c>
      <c r="O58" s="54">
        <v>441</v>
      </c>
      <c r="P58" s="54">
        <v>419</v>
      </c>
      <c r="Q58" s="54">
        <v>428</v>
      </c>
      <c r="R58" s="54">
        <v>424</v>
      </c>
      <c r="S58" s="54">
        <v>4487</v>
      </c>
    </row>
    <row r="59" spans="1:19">
      <c r="A59" s="53" t="s">
        <v>99</v>
      </c>
      <c r="B59" s="54"/>
      <c r="C59" s="54"/>
      <c r="D59" s="54"/>
      <c r="E59" s="54"/>
      <c r="F59" s="54"/>
      <c r="G59" s="54"/>
      <c r="H59" s="54">
        <v>148</v>
      </c>
      <c r="I59" s="54">
        <v>132</v>
      </c>
      <c r="J59" s="54">
        <v>149</v>
      </c>
      <c r="K59" s="54">
        <v>94</v>
      </c>
      <c r="L59" s="54">
        <v>116</v>
      </c>
      <c r="M59" s="54">
        <v>131</v>
      </c>
      <c r="N59" s="54">
        <v>188</v>
      </c>
      <c r="O59" s="54">
        <v>167</v>
      </c>
      <c r="P59" s="54">
        <v>252</v>
      </c>
      <c r="Q59" s="54">
        <v>202</v>
      </c>
      <c r="R59" s="54">
        <v>149</v>
      </c>
      <c r="S59" s="54">
        <v>1728</v>
      </c>
    </row>
    <row r="60" spans="1:19">
      <c r="A60" s="53" t="s">
        <v>100</v>
      </c>
      <c r="B60" s="54"/>
      <c r="C60" s="54"/>
      <c r="D60" s="54"/>
      <c r="E60" s="54"/>
      <c r="F60" s="54"/>
      <c r="G60" s="54"/>
      <c r="H60" s="54">
        <v>270</v>
      </c>
      <c r="I60" s="54">
        <v>295</v>
      </c>
      <c r="J60" s="54">
        <v>213</v>
      </c>
      <c r="K60" s="54">
        <v>244</v>
      </c>
      <c r="L60" s="54">
        <v>305</v>
      </c>
      <c r="M60" s="54">
        <v>370</v>
      </c>
      <c r="N60" s="54">
        <v>396</v>
      </c>
      <c r="O60" s="54">
        <v>367</v>
      </c>
      <c r="P60" s="54">
        <v>358</v>
      </c>
      <c r="Q60" s="54">
        <v>417</v>
      </c>
      <c r="R60" s="54">
        <v>370</v>
      </c>
      <c r="S60" s="54">
        <v>3605</v>
      </c>
    </row>
    <row r="61" spans="1:19">
      <c r="A61" s="53" t="s">
        <v>101</v>
      </c>
      <c r="B61" s="54"/>
      <c r="C61" s="54"/>
      <c r="D61" s="54"/>
      <c r="E61" s="54"/>
      <c r="F61" s="54"/>
      <c r="G61" s="54"/>
      <c r="H61" s="54">
        <v>1405</v>
      </c>
      <c r="I61" s="54">
        <v>1330</v>
      </c>
      <c r="J61" s="54">
        <v>1409</v>
      </c>
      <c r="K61" s="54">
        <v>1377</v>
      </c>
      <c r="L61" s="54">
        <v>1456</v>
      </c>
      <c r="M61" s="54">
        <v>1521</v>
      </c>
      <c r="N61" s="54">
        <v>1564</v>
      </c>
      <c r="O61" s="54">
        <v>1602</v>
      </c>
      <c r="P61" s="54">
        <v>1627</v>
      </c>
      <c r="Q61" s="54">
        <v>1720</v>
      </c>
      <c r="R61" s="54">
        <v>1726</v>
      </c>
      <c r="S61" s="54">
        <v>16737</v>
      </c>
    </row>
    <row r="62" spans="1:19">
      <c r="A62" s="53" t="s">
        <v>102</v>
      </c>
      <c r="B62" s="54"/>
      <c r="C62" s="54"/>
      <c r="D62" s="54"/>
      <c r="E62" s="54"/>
      <c r="F62" s="54"/>
      <c r="G62" s="54"/>
      <c r="H62" s="54">
        <v>455</v>
      </c>
      <c r="I62" s="54">
        <v>475</v>
      </c>
      <c r="J62" s="54">
        <v>281</v>
      </c>
      <c r="K62" s="54">
        <v>309</v>
      </c>
      <c r="L62" s="54">
        <v>310</v>
      </c>
      <c r="M62" s="54">
        <v>305</v>
      </c>
      <c r="N62" s="54">
        <v>387</v>
      </c>
      <c r="O62" s="54">
        <v>360</v>
      </c>
      <c r="P62" s="54">
        <v>400</v>
      </c>
      <c r="Q62" s="54">
        <v>418</v>
      </c>
      <c r="R62" s="54">
        <v>365</v>
      </c>
      <c r="S62" s="54">
        <v>4065</v>
      </c>
    </row>
    <row r="63" spans="1:19">
      <c r="A63" s="53" t="s">
        <v>103</v>
      </c>
      <c r="B63" s="54"/>
      <c r="C63" s="54"/>
      <c r="D63" s="54"/>
      <c r="E63" s="54"/>
      <c r="F63" s="54"/>
      <c r="G63" s="54"/>
      <c r="H63" s="54">
        <v>134</v>
      </c>
      <c r="I63" s="54">
        <v>128</v>
      </c>
      <c r="J63" s="54">
        <v>122</v>
      </c>
      <c r="K63" s="54">
        <v>139</v>
      </c>
      <c r="L63" s="54">
        <v>157</v>
      </c>
      <c r="M63" s="54">
        <v>203</v>
      </c>
      <c r="N63" s="54">
        <v>225</v>
      </c>
      <c r="O63" s="54">
        <v>225</v>
      </c>
      <c r="P63" s="54">
        <v>223</v>
      </c>
      <c r="Q63" s="54">
        <v>231</v>
      </c>
      <c r="R63" s="54">
        <v>177</v>
      </c>
      <c r="S63" s="54">
        <v>1964</v>
      </c>
    </row>
    <row r="64" spans="1:19">
      <c r="A64" s="53" t="s">
        <v>104</v>
      </c>
      <c r="B64" s="54"/>
      <c r="C64" s="54"/>
      <c r="D64" s="54"/>
      <c r="E64" s="54"/>
      <c r="F64" s="54"/>
      <c r="G64" s="54"/>
      <c r="H64" s="54">
        <v>1398</v>
      </c>
      <c r="I64" s="54">
        <v>1264</v>
      </c>
      <c r="J64" s="54">
        <v>1330</v>
      </c>
      <c r="K64" s="54">
        <v>1349</v>
      </c>
      <c r="L64" s="54">
        <v>1440</v>
      </c>
      <c r="M64" s="54">
        <v>1376</v>
      </c>
      <c r="N64" s="54">
        <v>1461</v>
      </c>
      <c r="O64" s="54">
        <v>1328</v>
      </c>
      <c r="P64" s="54">
        <v>1417</v>
      </c>
      <c r="Q64" s="54">
        <v>1501</v>
      </c>
      <c r="R64" s="54">
        <v>1624</v>
      </c>
      <c r="S64" s="54">
        <v>15488</v>
      </c>
    </row>
    <row r="65" spans="1:19">
      <c r="A65" s="53" t="s">
        <v>105</v>
      </c>
      <c r="B65" s="54"/>
      <c r="C65" s="54"/>
      <c r="D65" s="54"/>
      <c r="E65" s="54"/>
      <c r="F65" s="54"/>
      <c r="G65" s="54"/>
      <c r="H65" s="54">
        <v>416</v>
      </c>
      <c r="I65" s="54">
        <v>388</v>
      </c>
      <c r="J65" s="54">
        <v>381</v>
      </c>
      <c r="K65" s="54">
        <v>419</v>
      </c>
      <c r="L65" s="54">
        <v>452</v>
      </c>
      <c r="M65" s="54">
        <v>393</v>
      </c>
      <c r="N65" s="54">
        <v>418</v>
      </c>
      <c r="O65" s="54">
        <v>489</v>
      </c>
      <c r="P65" s="54">
        <v>411</v>
      </c>
      <c r="Q65" s="54">
        <v>479</v>
      </c>
      <c r="R65" s="54">
        <v>412</v>
      </c>
      <c r="S65" s="54">
        <v>4658</v>
      </c>
    </row>
    <row r="66" spans="1:19">
      <c r="A66" s="53" t="s">
        <v>106</v>
      </c>
      <c r="B66" s="54"/>
      <c r="C66" s="54"/>
      <c r="D66" s="54"/>
      <c r="E66" s="54"/>
      <c r="F66" s="54"/>
      <c r="G66" s="54"/>
      <c r="H66" s="54">
        <v>173</v>
      </c>
      <c r="I66" s="54">
        <v>248</v>
      </c>
      <c r="J66" s="54">
        <v>207</v>
      </c>
      <c r="K66" s="54">
        <v>240</v>
      </c>
      <c r="L66" s="54">
        <v>231</v>
      </c>
      <c r="M66" s="54">
        <v>270</v>
      </c>
      <c r="N66" s="54">
        <v>279</v>
      </c>
      <c r="O66" s="54">
        <v>224</v>
      </c>
      <c r="P66" s="54">
        <v>244</v>
      </c>
      <c r="Q66" s="54">
        <v>310</v>
      </c>
      <c r="R66" s="54">
        <v>322</v>
      </c>
      <c r="S66" s="54">
        <v>2748</v>
      </c>
    </row>
    <row r="67" spans="1:19">
      <c r="A67" s="53" t="s">
        <v>107</v>
      </c>
      <c r="B67" s="54"/>
      <c r="C67" s="54"/>
      <c r="D67" s="54"/>
      <c r="E67" s="54"/>
      <c r="F67" s="54"/>
      <c r="G67" s="54"/>
      <c r="H67" s="54">
        <v>302</v>
      </c>
      <c r="I67" s="54">
        <v>242</v>
      </c>
      <c r="J67" s="54">
        <v>342</v>
      </c>
      <c r="K67" s="54">
        <v>357</v>
      </c>
      <c r="L67" s="54">
        <v>328</v>
      </c>
      <c r="M67" s="54">
        <v>302</v>
      </c>
      <c r="N67" s="54">
        <v>248</v>
      </c>
      <c r="O67" s="54">
        <v>287</v>
      </c>
      <c r="P67" s="54">
        <v>265</v>
      </c>
      <c r="Q67" s="54">
        <v>282</v>
      </c>
      <c r="R67" s="54">
        <v>268</v>
      </c>
      <c r="S67" s="54">
        <v>3223</v>
      </c>
    </row>
    <row r="68" spans="1:19">
      <c r="A68" s="53" t="s">
        <v>108</v>
      </c>
      <c r="B68" s="54"/>
      <c r="C68" s="54"/>
      <c r="D68" s="54"/>
      <c r="E68" s="54"/>
      <c r="F68" s="54"/>
      <c r="G68" s="54"/>
      <c r="H68" s="54"/>
      <c r="I68" s="54">
        <v>207</v>
      </c>
      <c r="J68" s="54">
        <v>241</v>
      </c>
      <c r="K68" s="54">
        <v>203</v>
      </c>
      <c r="L68" s="54">
        <v>195</v>
      </c>
      <c r="M68" s="54">
        <v>230</v>
      </c>
      <c r="N68" s="54">
        <v>195</v>
      </c>
      <c r="O68" s="54">
        <v>185</v>
      </c>
      <c r="P68" s="54">
        <v>151</v>
      </c>
      <c r="Q68" s="54">
        <v>242</v>
      </c>
      <c r="R68" s="54">
        <v>207</v>
      </c>
      <c r="S68" s="54">
        <v>2056</v>
      </c>
    </row>
    <row r="69" spans="1:19">
      <c r="A69" s="52" t="s">
        <v>110</v>
      </c>
      <c r="B69" s="54">
        <v>26481</v>
      </c>
      <c r="C69" s="54">
        <v>27045</v>
      </c>
      <c r="D69" s="54">
        <v>21478</v>
      </c>
      <c r="E69" s="54">
        <v>21630</v>
      </c>
      <c r="F69" s="54">
        <v>23160</v>
      </c>
      <c r="G69" s="54">
        <v>24569</v>
      </c>
      <c r="H69" s="54">
        <v>33801</v>
      </c>
      <c r="I69" s="54">
        <v>34992</v>
      </c>
      <c r="J69" s="54">
        <v>35746</v>
      </c>
      <c r="K69" s="54">
        <v>37351</v>
      </c>
      <c r="L69" s="54">
        <v>38774</v>
      </c>
      <c r="M69" s="54">
        <v>39277</v>
      </c>
      <c r="N69" s="54">
        <v>40508</v>
      </c>
      <c r="O69" s="54">
        <v>41713</v>
      </c>
      <c r="P69" s="54">
        <v>43332</v>
      </c>
      <c r="Q69" s="54">
        <v>47993</v>
      </c>
      <c r="R69" s="54">
        <v>48830</v>
      </c>
      <c r="S69" s="54">
        <v>586680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8"/>
  <sheetViews>
    <sheetView workbookViewId="0">
      <selection sqref="A1:D818"/>
    </sheetView>
  </sheetViews>
  <sheetFormatPr defaultRowHeight="9"/>
  <sheetData>
    <row r="1" spans="1:4" ht="12.75">
      <c r="A1" s="50" t="s">
        <v>41</v>
      </c>
      <c r="B1" s="50" t="s">
        <v>42</v>
      </c>
      <c r="C1" s="50" t="s">
        <v>43</v>
      </c>
      <c r="D1" s="50" t="s">
        <v>44</v>
      </c>
    </row>
    <row r="2" spans="1:4" ht="12.75">
      <c r="A2" s="50">
        <v>1994</v>
      </c>
      <c r="B2" s="50" t="s">
        <v>45</v>
      </c>
      <c r="C2" s="50" t="s">
        <v>46</v>
      </c>
      <c r="D2" s="50">
        <v>392</v>
      </c>
    </row>
    <row r="3" spans="1:4" ht="12.75">
      <c r="A3" s="50">
        <v>1995</v>
      </c>
      <c r="B3" s="50" t="s">
        <v>45</v>
      </c>
      <c r="C3" s="50" t="s">
        <v>46</v>
      </c>
      <c r="D3" s="50">
        <v>444</v>
      </c>
    </row>
    <row r="4" spans="1:4" ht="12.75">
      <c r="A4" s="50">
        <v>1998</v>
      </c>
      <c r="B4" s="50" t="s">
        <v>45</v>
      </c>
      <c r="C4" s="50" t="s">
        <v>46</v>
      </c>
      <c r="D4" s="50">
        <v>460</v>
      </c>
    </row>
    <row r="5" spans="1:4" ht="12.75">
      <c r="A5" s="50">
        <v>1999</v>
      </c>
      <c r="B5" s="50" t="s">
        <v>45</v>
      </c>
      <c r="C5" s="50" t="s">
        <v>46</v>
      </c>
      <c r="D5" s="50">
        <v>551</v>
      </c>
    </row>
    <row r="6" spans="1:4" ht="12.75">
      <c r="A6" s="50">
        <v>2000</v>
      </c>
      <c r="B6" s="50" t="s">
        <v>45</v>
      </c>
      <c r="C6" s="50" t="s">
        <v>46</v>
      </c>
      <c r="D6" s="50">
        <v>543</v>
      </c>
    </row>
    <row r="7" spans="1:4" ht="12.75">
      <c r="A7" s="50">
        <v>2001</v>
      </c>
      <c r="B7" s="50" t="s">
        <v>45</v>
      </c>
      <c r="C7" s="50" t="s">
        <v>46</v>
      </c>
      <c r="D7" s="50">
        <v>624</v>
      </c>
    </row>
    <row r="8" spans="1:4" ht="12.75">
      <c r="A8" s="50">
        <v>2002</v>
      </c>
      <c r="B8" s="50" t="s">
        <v>45</v>
      </c>
      <c r="C8" s="50" t="s">
        <v>46</v>
      </c>
      <c r="D8" s="50">
        <v>426</v>
      </c>
    </row>
    <row r="9" spans="1:4" ht="12.75">
      <c r="A9" s="50">
        <v>2003</v>
      </c>
      <c r="B9" s="50" t="s">
        <v>45</v>
      </c>
      <c r="C9" s="50" t="s">
        <v>46</v>
      </c>
      <c r="D9" s="50">
        <v>600</v>
      </c>
    </row>
    <row r="10" spans="1:4" ht="12.75">
      <c r="A10" s="50">
        <v>2004</v>
      </c>
      <c r="B10" s="50" t="s">
        <v>45</v>
      </c>
      <c r="C10" s="50" t="s">
        <v>46</v>
      </c>
      <c r="D10" s="50">
        <v>598</v>
      </c>
    </row>
    <row r="11" spans="1:4" ht="12.75">
      <c r="A11" s="50">
        <v>2005</v>
      </c>
      <c r="B11" s="50" t="s">
        <v>45</v>
      </c>
      <c r="C11" s="50" t="s">
        <v>46</v>
      </c>
      <c r="D11" s="50">
        <v>555</v>
      </c>
    </row>
    <row r="12" spans="1:4" ht="12.75">
      <c r="A12" s="50">
        <v>2006</v>
      </c>
      <c r="B12" s="50" t="s">
        <v>45</v>
      </c>
      <c r="C12" s="50" t="s">
        <v>46</v>
      </c>
      <c r="D12" s="50">
        <v>598</v>
      </c>
    </row>
    <row r="13" spans="1:4" ht="12.75">
      <c r="A13" s="50">
        <v>2007</v>
      </c>
      <c r="B13" s="50" t="s">
        <v>45</v>
      </c>
      <c r="C13" s="50" t="s">
        <v>46</v>
      </c>
      <c r="D13" s="50">
        <v>711</v>
      </c>
    </row>
    <row r="14" spans="1:4" ht="12.75">
      <c r="A14" s="50">
        <v>2008</v>
      </c>
      <c r="B14" s="50" t="s">
        <v>45</v>
      </c>
      <c r="C14" s="50" t="s">
        <v>46</v>
      </c>
      <c r="D14" s="50">
        <v>698</v>
      </c>
    </row>
    <row r="15" spans="1:4" ht="12.75">
      <c r="A15" s="50">
        <v>2009</v>
      </c>
      <c r="B15" s="50" t="s">
        <v>45</v>
      </c>
      <c r="C15" s="50" t="s">
        <v>46</v>
      </c>
      <c r="D15" s="50">
        <v>1533</v>
      </c>
    </row>
    <row r="16" spans="1:4" ht="12.75">
      <c r="A16" s="50">
        <v>2010</v>
      </c>
      <c r="B16" s="50" t="s">
        <v>45</v>
      </c>
      <c r="C16" s="50" t="s">
        <v>46</v>
      </c>
      <c r="D16" s="50">
        <v>820</v>
      </c>
    </row>
    <row r="17" spans="1:4" ht="12.75">
      <c r="A17" s="50">
        <v>1994</v>
      </c>
      <c r="B17" s="50" t="s">
        <v>45</v>
      </c>
      <c r="C17" s="50" t="s">
        <v>47</v>
      </c>
      <c r="D17" s="50">
        <v>441</v>
      </c>
    </row>
    <row r="18" spans="1:4" ht="12.75">
      <c r="A18" s="50">
        <v>1995</v>
      </c>
      <c r="B18" s="50" t="s">
        <v>45</v>
      </c>
      <c r="C18" s="50" t="s">
        <v>47</v>
      </c>
      <c r="D18" s="50">
        <v>383</v>
      </c>
    </row>
    <row r="19" spans="1:4" ht="12.75">
      <c r="A19" s="50">
        <v>1996</v>
      </c>
      <c r="B19" s="50" t="s">
        <v>45</v>
      </c>
      <c r="C19" s="50" t="s">
        <v>47</v>
      </c>
      <c r="D19" s="50">
        <v>333</v>
      </c>
    </row>
    <row r="20" spans="1:4" ht="12.75">
      <c r="A20" s="50">
        <v>1997</v>
      </c>
      <c r="B20" s="50" t="s">
        <v>45</v>
      </c>
      <c r="C20" s="50" t="s">
        <v>47</v>
      </c>
      <c r="D20" s="50">
        <v>325</v>
      </c>
    </row>
    <row r="21" spans="1:4" ht="12.75">
      <c r="A21" s="50">
        <v>1998</v>
      </c>
      <c r="B21" s="50" t="s">
        <v>45</v>
      </c>
      <c r="C21" s="50" t="s">
        <v>47</v>
      </c>
      <c r="D21" s="50">
        <v>379</v>
      </c>
    </row>
    <row r="22" spans="1:4" ht="12.75">
      <c r="A22" s="50">
        <v>1999</v>
      </c>
      <c r="B22" s="50" t="s">
        <v>45</v>
      </c>
      <c r="C22" s="50" t="s">
        <v>47</v>
      </c>
      <c r="D22" s="50">
        <v>326</v>
      </c>
    </row>
    <row r="23" spans="1:4" ht="12.75">
      <c r="A23" s="50">
        <v>2000</v>
      </c>
      <c r="B23" s="50" t="s">
        <v>45</v>
      </c>
      <c r="C23" s="50" t="s">
        <v>47</v>
      </c>
      <c r="D23" s="50">
        <v>367</v>
      </c>
    </row>
    <row r="24" spans="1:4" ht="12.75">
      <c r="A24" s="50">
        <v>2001</v>
      </c>
      <c r="B24" s="50" t="s">
        <v>45</v>
      </c>
      <c r="C24" s="50" t="s">
        <v>47</v>
      </c>
      <c r="D24" s="50">
        <v>472</v>
      </c>
    </row>
    <row r="25" spans="1:4" ht="12.75">
      <c r="A25" s="50">
        <v>2002</v>
      </c>
      <c r="B25" s="50" t="s">
        <v>45</v>
      </c>
      <c r="C25" s="50" t="s">
        <v>47</v>
      </c>
      <c r="D25" s="50">
        <v>567</v>
      </c>
    </row>
    <row r="26" spans="1:4" ht="12.75">
      <c r="A26" s="50">
        <v>2003</v>
      </c>
      <c r="B26" s="50" t="s">
        <v>45</v>
      </c>
      <c r="C26" s="50" t="s">
        <v>47</v>
      </c>
      <c r="D26" s="50">
        <v>544</v>
      </c>
    </row>
    <row r="27" spans="1:4" ht="12.75">
      <c r="A27" s="50">
        <v>2004</v>
      </c>
      <c r="B27" s="50" t="s">
        <v>45</v>
      </c>
      <c r="C27" s="50" t="s">
        <v>47</v>
      </c>
      <c r="D27" s="50">
        <v>590</v>
      </c>
    </row>
    <row r="28" spans="1:4" ht="12.75">
      <c r="A28" s="50">
        <v>2005</v>
      </c>
      <c r="B28" s="50" t="s">
        <v>45</v>
      </c>
      <c r="C28" s="50" t="s">
        <v>47</v>
      </c>
      <c r="D28" s="50">
        <v>493</v>
      </c>
    </row>
    <row r="29" spans="1:4" ht="12.75">
      <c r="A29" s="50">
        <v>2006</v>
      </c>
      <c r="B29" s="50" t="s">
        <v>45</v>
      </c>
      <c r="C29" s="50" t="s">
        <v>47</v>
      </c>
      <c r="D29" s="50">
        <v>651</v>
      </c>
    </row>
    <row r="30" spans="1:4" ht="12.75">
      <c r="A30" s="50">
        <v>2007</v>
      </c>
      <c r="B30" s="50" t="s">
        <v>45</v>
      </c>
      <c r="C30" s="50" t="s">
        <v>47</v>
      </c>
      <c r="D30" s="50">
        <v>563</v>
      </c>
    </row>
    <row r="31" spans="1:4" ht="12.75">
      <c r="A31" s="50">
        <v>2008</v>
      </c>
      <c r="B31" s="50" t="s">
        <v>45</v>
      </c>
      <c r="C31" s="50" t="s">
        <v>47</v>
      </c>
      <c r="D31" s="50">
        <v>582</v>
      </c>
    </row>
    <row r="32" spans="1:4" ht="12.75">
      <c r="A32" s="50">
        <v>2009</v>
      </c>
      <c r="B32" s="50" t="s">
        <v>45</v>
      </c>
      <c r="C32" s="50" t="s">
        <v>47</v>
      </c>
      <c r="D32" s="50">
        <v>782</v>
      </c>
    </row>
    <row r="33" spans="1:4" ht="12.75">
      <c r="A33" s="50">
        <v>2010</v>
      </c>
      <c r="B33" s="50" t="s">
        <v>45</v>
      </c>
      <c r="C33" s="50" t="s">
        <v>47</v>
      </c>
      <c r="D33" s="50">
        <v>743</v>
      </c>
    </row>
    <row r="34" spans="1:4" ht="12.75">
      <c r="A34" s="50">
        <v>1994</v>
      </c>
      <c r="B34" s="50" t="s">
        <v>45</v>
      </c>
      <c r="C34" s="50" t="s">
        <v>48</v>
      </c>
      <c r="D34" s="50">
        <v>931</v>
      </c>
    </row>
    <row r="35" spans="1:4" ht="12.75">
      <c r="A35" s="50">
        <v>1995</v>
      </c>
      <c r="B35" s="50" t="s">
        <v>45</v>
      </c>
      <c r="C35" s="50" t="s">
        <v>48</v>
      </c>
      <c r="D35" s="50">
        <v>964</v>
      </c>
    </row>
    <row r="36" spans="1:4" ht="12.75">
      <c r="A36" s="50">
        <v>1996</v>
      </c>
      <c r="B36" s="50" t="s">
        <v>45</v>
      </c>
      <c r="C36" s="50" t="s">
        <v>48</v>
      </c>
      <c r="D36" s="50">
        <v>899</v>
      </c>
    </row>
    <row r="37" spans="1:4" ht="12.75">
      <c r="A37" s="50">
        <v>1997</v>
      </c>
      <c r="B37" s="50" t="s">
        <v>45</v>
      </c>
      <c r="C37" s="50" t="s">
        <v>48</v>
      </c>
      <c r="D37" s="50">
        <v>640</v>
      </c>
    </row>
    <row r="38" spans="1:4" ht="12.75">
      <c r="A38" s="50">
        <v>1998</v>
      </c>
      <c r="B38" s="50" t="s">
        <v>45</v>
      </c>
      <c r="C38" s="50" t="s">
        <v>48</v>
      </c>
      <c r="D38" s="50">
        <v>765</v>
      </c>
    </row>
    <row r="39" spans="1:4" ht="12.75">
      <c r="A39" s="50">
        <v>1999</v>
      </c>
      <c r="B39" s="50" t="s">
        <v>45</v>
      </c>
      <c r="C39" s="50" t="s">
        <v>48</v>
      </c>
      <c r="D39" s="50">
        <v>785</v>
      </c>
    </row>
    <row r="40" spans="1:4" ht="12.75">
      <c r="A40" s="50">
        <v>2000</v>
      </c>
      <c r="B40" s="50" t="s">
        <v>45</v>
      </c>
      <c r="C40" s="50" t="s">
        <v>48</v>
      </c>
      <c r="D40" s="50">
        <v>791</v>
      </c>
    </row>
    <row r="41" spans="1:4" ht="12.75">
      <c r="A41" s="50">
        <v>2001</v>
      </c>
      <c r="B41" s="50" t="s">
        <v>45</v>
      </c>
      <c r="C41" s="50" t="s">
        <v>48</v>
      </c>
      <c r="D41" s="50">
        <v>778</v>
      </c>
    </row>
    <row r="42" spans="1:4" ht="12.75">
      <c r="A42" s="50">
        <v>2002</v>
      </c>
      <c r="B42" s="50" t="s">
        <v>45</v>
      </c>
      <c r="C42" s="50" t="s">
        <v>48</v>
      </c>
      <c r="D42" s="50">
        <v>818</v>
      </c>
    </row>
    <row r="43" spans="1:4" ht="12.75">
      <c r="A43" s="50">
        <v>2003</v>
      </c>
      <c r="B43" s="50" t="s">
        <v>45</v>
      </c>
      <c r="C43" s="50" t="s">
        <v>48</v>
      </c>
      <c r="D43" s="50">
        <v>836</v>
      </c>
    </row>
    <row r="44" spans="1:4" ht="12.75">
      <c r="A44" s="50">
        <v>2004</v>
      </c>
      <c r="B44" s="50" t="s">
        <v>45</v>
      </c>
      <c r="C44" s="50" t="s">
        <v>48</v>
      </c>
      <c r="D44" s="50">
        <v>846</v>
      </c>
    </row>
    <row r="45" spans="1:4" ht="12.75">
      <c r="A45" s="50">
        <v>2005</v>
      </c>
      <c r="B45" s="50" t="s">
        <v>45</v>
      </c>
      <c r="C45" s="50" t="s">
        <v>48</v>
      </c>
      <c r="D45" s="50">
        <v>885</v>
      </c>
    </row>
    <row r="46" spans="1:4" ht="12.75">
      <c r="A46" s="50">
        <v>2006</v>
      </c>
      <c r="B46" s="50" t="s">
        <v>45</v>
      </c>
      <c r="C46" s="50" t="s">
        <v>48</v>
      </c>
      <c r="D46" s="50">
        <v>857</v>
      </c>
    </row>
    <row r="47" spans="1:4" ht="12.75">
      <c r="A47" s="50">
        <v>2007</v>
      </c>
      <c r="B47" s="50" t="s">
        <v>45</v>
      </c>
      <c r="C47" s="50" t="s">
        <v>48</v>
      </c>
      <c r="D47" s="50">
        <v>994</v>
      </c>
    </row>
    <row r="48" spans="1:4" ht="12.75">
      <c r="A48" s="50">
        <v>2008</v>
      </c>
      <c r="B48" s="50" t="s">
        <v>45</v>
      </c>
      <c r="C48" s="50" t="s">
        <v>48</v>
      </c>
      <c r="D48" s="50">
        <v>977</v>
      </c>
    </row>
    <row r="49" spans="1:4" ht="12.75">
      <c r="A49" s="50">
        <v>2009</v>
      </c>
      <c r="B49" s="50" t="s">
        <v>45</v>
      </c>
      <c r="C49" s="50" t="s">
        <v>48</v>
      </c>
      <c r="D49" s="50">
        <v>1155</v>
      </c>
    </row>
    <row r="50" spans="1:4" ht="12.75">
      <c r="A50" s="50">
        <v>2010</v>
      </c>
      <c r="B50" s="50" t="s">
        <v>45</v>
      </c>
      <c r="C50" s="50" t="s">
        <v>48</v>
      </c>
      <c r="D50" s="50">
        <v>1229</v>
      </c>
    </row>
    <row r="51" spans="1:4" ht="12.75">
      <c r="A51" s="50">
        <v>1999</v>
      </c>
      <c r="B51" s="50" t="s">
        <v>45</v>
      </c>
      <c r="C51" s="50" t="s">
        <v>49</v>
      </c>
      <c r="D51" s="50">
        <v>322</v>
      </c>
    </row>
    <row r="52" spans="1:4" ht="12.75">
      <c r="A52" s="50">
        <v>2000</v>
      </c>
      <c r="B52" s="50" t="s">
        <v>45</v>
      </c>
      <c r="C52" s="50" t="s">
        <v>49</v>
      </c>
      <c r="D52" s="50">
        <v>337</v>
      </c>
    </row>
    <row r="53" spans="1:4" ht="12.75">
      <c r="A53" s="50">
        <v>2001</v>
      </c>
      <c r="B53" s="50" t="s">
        <v>45</v>
      </c>
      <c r="C53" s="50" t="s">
        <v>49</v>
      </c>
      <c r="D53" s="50">
        <v>373</v>
      </c>
    </row>
    <row r="54" spans="1:4" ht="12.75">
      <c r="A54" s="50">
        <v>2002</v>
      </c>
      <c r="B54" s="50" t="s">
        <v>45</v>
      </c>
      <c r="C54" s="50" t="s">
        <v>49</v>
      </c>
      <c r="D54" s="50">
        <v>378</v>
      </c>
    </row>
    <row r="55" spans="1:4" ht="12.75">
      <c r="A55" s="50">
        <v>2003</v>
      </c>
      <c r="B55" s="50" t="s">
        <v>45</v>
      </c>
      <c r="C55" s="50" t="s">
        <v>49</v>
      </c>
      <c r="D55" s="50">
        <v>362</v>
      </c>
    </row>
    <row r="56" spans="1:4" ht="12.75">
      <c r="A56" s="50">
        <v>2004</v>
      </c>
      <c r="B56" s="50" t="s">
        <v>45</v>
      </c>
      <c r="C56" s="50" t="s">
        <v>49</v>
      </c>
      <c r="D56" s="50">
        <v>327</v>
      </c>
    </row>
    <row r="57" spans="1:4" ht="12.75">
      <c r="A57" s="50">
        <v>2005</v>
      </c>
      <c r="B57" s="50" t="s">
        <v>45</v>
      </c>
      <c r="C57" s="50" t="s">
        <v>49</v>
      </c>
      <c r="D57" s="50">
        <v>372</v>
      </c>
    </row>
    <row r="58" spans="1:4" ht="12.75">
      <c r="A58" s="50">
        <v>2006</v>
      </c>
      <c r="B58" s="50" t="s">
        <v>45</v>
      </c>
      <c r="C58" s="50" t="s">
        <v>49</v>
      </c>
      <c r="D58" s="50">
        <v>401</v>
      </c>
    </row>
    <row r="59" spans="1:4" ht="12.75">
      <c r="A59" s="50">
        <v>2007</v>
      </c>
      <c r="B59" s="50" t="s">
        <v>45</v>
      </c>
      <c r="C59" s="50" t="s">
        <v>49</v>
      </c>
      <c r="D59" s="50">
        <v>387</v>
      </c>
    </row>
    <row r="60" spans="1:4" ht="12.75">
      <c r="A60" s="50">
        <v>2008</v>
      </c>
      <c r="B60" s="50" t="s">
        <v>45</v>
      </c>
      <c r="C60" s="50" t="s">
        <v>49</v>
      </c>
      <c r="D60" s="50">
        <v>456</v>
      </c>
    </row>
    <row r="61" spans="1:4" ht="12.75">
      <c r="A61" s="50">
        <v>2009</v>
      </c>
      <c r="B61" s="50" t="s">
        <v>45</v>
      </c>
      <c r="C61" s="50" t="s">
        <v>49</v>
      </c>
      <c r="D61" s="50">
        <v>478</v>
      </c>
    </row>
    <row r="62" spans="1:4" ht="12.75">
      <c r="A62" s="50">
        <v>2010</v>
      </c>
      <c r="B62" s="50" t="s">
        <v>45</v>
      </c>
      <c r="C62" s="50" t="s">
        <v>49</v>
      </c>
      <c r="D62" s="50">
        <v>436</v>
      </c>
    </row>
    <row r="63" spans="1:4" ht="12.75">
      <c r="A63" s="50">
        <v>2002</v>
      </c>
      <c r="B63" s="50" t="s">
        <v>45</v>
      </c>
      <c r="C63" s="50" t="s">
        <v>50</v>
      </c>
      <c r="D63" s="50">
        <v>194</v>
      </c>
    </row>
    <row r="64" spans="1:4" ht="12.75">
      <c r="A64" s="50">
        <v>2003</v>
      </c>
      <c r="B64" s="50" t="s">
        <v>45</v>
      </c>
      <c r="C64" s="50" t="s">
        <v>50</v>
      </c>
      <c r="D64" s="50">
        <v>259</v>
      </c>
    </row>
    <row r="65" spans="1:4" ht="12.75">
      <c r="A65" s="50">
        <v>2004</v>
      </c>
      <c r="B65" s="50" t="s">
        <v>45</v>
      </c>
      <c r="C65" s="50" t="s">
        <v>50</v>
      </c>
      <c r="D65" s="50">
        <v>229</v>
      </c>
    </row>
    <row r="66" spans="1:4" ht="12.75">
      <c r="A66" s="50">
        <v>2005</v>
      </c>
      <c r="B66" s="50" t="s">
        <v>45</v>
      </c>
      <c r="C66" s="50" t="s">
        <v>50</v>
      </c>
      <c r="D66" s="50">
        <v>315</v>
      </c>
    </row>
    <row r="67" spans="1:4" ht="12.75">
      <c r="A67" s="50">
        <v>2006</v>
      </c>
      <c r="B67" s="50" t="s">
        <v>45</v>
      </c>
      <c r="C67" s="50" t="s">
        <v>50</v>
      </c>
      <c r="D67" s="50">
        <v>344</v>
      </c>
    </row>
    <row r="68" spans="1:4" ht="12.75">
      <c r="A68" s="50">
        <v>2007</v>
      </c>
      <c r="B68" s="50" t="s">
        <v>45</v>
      </c>
      <c r="C68" s="50" t="s">
        <v>50</v>
      </c>
      <c r="D68" s="50">
        <v>336</v>
      </c>
    </row>
    <row r="69" spans="1:4" ht="12.75">
      <c r="A69" s="50">
        <v>2008</v>
      </c>
      <c r="B69" s="50" t="s">
        <v>45</v>
      </c>
      <c r="C69" s="50" t="s">
        <v>50</v>
      </c>
      <c r="D69" s="50">
        <v>477</v>
      </c>
    </row>
    <row r="70" spans="1:4" ht="12.75">
      <c r="A70" s="50">
        <v>2009</v>
      </c>
      <c r="B70" s="50" t="s">
        <v>45</v>
      </c>
      <c r="C70" s="50" t="s">
        <v>50</v>
      </c>
      <c r="D70" s="50">
        <v>540</v>
      </c>
    </row>
    <row r="71" spans="1:4" ht="12.75">
      <c r="A71" s="50">
        <v>2010</v>
      </c>
      <c r="B71" s="50" t="s">
        <v>45</v>
      </c>
      <c r="C71" s="50" t="s">
        <v>50</v>
      </c>
      <c r="D71" s="50">
        <v>587</v>
      </c>
    </row>
    <row r="72" spans="1:4" ht="12.75">
      <c r="A72" s="50">
        <v>2002</v>
      </c>
      <c r="B72" s="50" t="s">
        <v>45</v>
      </c>
      <c r="C72" s="50" t="s">
        <v>51</v>
      </c>
      <c r="D72" s="50">
        <v>29</v>
      </c>
    </row>
    <row r="73" spans="1:4" ht="12.75">
      <c r="A73" s="50">
        <v>2003</v>
      </c>
      <c r="B73" s="50" t="s">
        <v>45</v>
      </c>
      <c r="C73" s="50" t="s">
        <v>51</v>
      </c>
      <c r="D73" s="50">
        <v>28</v>
      </c>
    </row>
    <row r="74" spans="1:4" ht="12.75">
      <c r="A74" s="50">
        <v>2004</v>
      </c>
      <c r="B74" s="50" t="s">
        <v>45</v>
      </c>
      <c r="C74" s="50" t="s">
        <v>51</v>
      </c>
      <c r="D74" s="50">
        <v>21</v>
      </c>
    </row>
    <row r="75" spans="1:4" ht="12.75">
      <c r="A75" s="50">
        <v>2005</v>
      </c>
      <c r="B75" s="50" t="s">
        <v>45</v>
      </c>
      <c r="C75" s="50" t="s">
        <v>51</v>
      </c>
      <c r="D75" s="50">
        <v>43</v>
      </c>
    </row>
    <row r="76" spans="1:4" ht="12.75">
      <c r="A76" s="50">
        <v>2006</v>
      </c>
      <c r="B76" s="50" t="s">
        <v>45</v>
      </c>
      <c r="C76" s="50" t="s">
        <v>51</v>
      </c>
      <c r="D76" s="50">
        <v>74</v>
      </c>
    </row>
    <row r="77" spans="1:4" ht="12.75">
      <c r="A77" s="50">
        <v>2007</v>
      </c>
      <c r="B77" s="50" t="s">
        <v>45</v>
      </c>
      <c r="C77" s="50" t="s">
        <v>51</v>
      </c>
      <c r="D77" s="50">
        <v>77</v>
      </c>
    </row>
    <row r="78" spans="1:4" ht="12.75">
      <c r="A78" s="50">
        <v>2008</v>
      </c>
      <c r="B78" s="50" t="s">
        <v>45</v>
      </c>
      <c r="C78" s="50" t="s">
        <v>51</v>
      </c>
      <c r="D78" s="50">
        <v>59</v>
      </c>
    </row>
    <row r="79" spans="1:4" ht="12.75">
      <c r="A79" s="50">
        <v>2009</v>
      </c>
      <c r="B79" s="50" t="s">
        <v>45</v>
      </c>
      <c r="C79" s="50" t="s">
        <v>51</v>
      </c>
      <c r="D79" s="50">
        <v>94</v>
      </c>
    </row>
    <row r="80" spans="1:4" ht="12.75">
      <c r="A80" s="50">
        <v>2010</v>
      </c>
      <c r="B80" s="50" t="s">
        <v>45</v>
      </c>
      <c r="C80" s="50" t="s">
        <v>51</v>
      </c>
      <c r="D80" s="50">
        <v>96</v>
      </c>
    </row>
    <row r="81" spans="1:4" ht="12.75">
      <c r="A81" s="50">
        <v>1994</v>
      </c>
      <c r="B81" s="50" t="s">
        <v>45</v>
      </c>
      <c r="C81" s="50" t="s">
        <v>52</v>
      </c>
      <c r="D81" s="50">
        <v>1207</v>
      </c>
    </row>
    <row r="82" spans="1:4" ht="12.75">
      <c r="A82" s="50">
        <v>1995</v>
      </c>
      <c r="B82" s="50" t="s">
        <v>45</v>
      </c>
      <c r="C82" s="50" t="s">
        <v>52</v>
      </c>
      <c r="D82" s="50">
        <v>1181</v>
      </c>
    </row>
    <row r="83" spans="1:4" ht="12.75">
      <c r="A83" s="50">
        <v>1996</v>
      </c>
      <c r="B83" s="50" t="s">
        <v>45</v>
      </c>
      <c r="C83" s="50" t="s">
        <v>52</v>
      </c>
      <c r="D83" s="50">
        <v>535</v>
      </c>
    </row>
    <row r="84" spans="1:4" ht="12.75">
      <c r="A84" s="50">
        <v>1997</v>
      </c>
      <c r="B84" s="50" t="s">
        <v>45</v>
      </c>
      <c r="C84" s="50" t="s">
        <v>52</v>
      </c>
      <c r="D84" s="50">
        <v>514</v>
      </c>
    </row>
    <row r="85" spans="1:4" ht="12.75">
      <c r="A85" s="50">
        <v>1998</v>
      </c>
      <c r="B85" s="50" t="s">
        <v>45</v>
      </c>
      <c r="C85" s="50" t="s">
        <v>52</v>
      </c>
      <c r="D85" s="50">
        <v>570</v>
      </c>
    </row>
    <row r="86" spans="1:4" ht="12.75">
      <c r="A86" s="50">
        <v>1999</v>
      </c>
      <c r="B86" s="50" t="s">
        <v>45</v>
      </c>
      <c r="C86" s="50" t="s">
        <v>52</v>
      </c>
      <c r="D86" s="50">
        <v>639</v>
      </c>
    </row>
    <row r="87" spans="1:4" ht="12.75">
      <c r="A87" s="50">
        <v>2000</v>
      </c>
      <c r="B87" s="50" t="s">
        <v>45</v>
      </c>
      <c r="C87" s="50" t="s">
        <v>52</v>
      </c>
      <c r="D87" s="50">
        <v>663</v>
      </c>
    </row>
    <row r="88" spans="1:4" ht="12.75">
      <c r="A88" s="50">
        <v>2001</v>
      </c>
      <c r="B88" s="50" t="s">
        <v>45</v>
      </c>
      <c r="C88" s="50" t="s">
        <v>52</v>
      </c>
      <c r="D88" s="50">
        <v>518</v>
      </c>
    </row>
    <row r="89" spans="1:4" ht="12.75">
      <c r="A89" s="50">
        <v>2002</v>
      </c>
      <c r="B89" s="50" t="s">
        <v>45</v>
      </c>
      <c r="C89" s="50" t="s">
        <v>52</v>
      </c>
      <c r="D89" s="50">
        <v>583</v>
      </c>
    </row>
    <row r="90" spans="1:4" ht="12.75">
      <c r="A90" s="50">
        <v>2003</v>
      </c>
      <c r="B90" s="50" t="s">
        <v>45</v>
      </c>
      <c r="C90" s="50" t="s">
        <v>52</v>
      </c>
      <c r="D90" s="50">
        <v>433</v>
      </c>
    </row>
    <row r="91" spans="1:4" ht="12.75">
      <c r="A91" s="50">
        <v>2004</v>
      </c>
      <c r="B91" s="50" t="s">
        <v>45</v>
      </c>
      <c r="C91" s="50" t="s">
        <v>52</v>
      </c>
      <c r="D91" s="50">
        <v>457</v>
      </c>
    </row>
    <row r="92" spans="1:4" ht="12.75">
      <c r="A92" s="50">
        <v>2005</v>
      </c>
      <c r="B92" s="50" t="s">
        <v>45</v>
      </c>
      <c r="C92" s="50" t="s">
        <v>52</v>
      </c>
      <c r="D92" s="50">
        <v>665</v>
      </c>
    </row>
    <row r="93" spans="1:4" ht="12.75">
      <c r="A93" s="50">
        <v>2006</v>
      </c>
      <c r="B93" s="50" t="s">
        <v>45</v>
      </c>
      <c r="C93" s="50" t="s">
        <v>52</v>
      </c>
      <c r="D93" s="50">
        <v>663</v>
      </c>
    </row>
    <row r="94" spans="1:4" ht="12.75">
      <c r="A94" s="50">
        <v>2007</v>
      </c>
      <c r="B94" s="50" t="s">
        <v>45</v>
      </c>
      <c r="C94" s="50" t="s">
        <v>52</v>
      </c>
      <c r="D94" s="50">
        <v>841</v>
      </c>
    </row>
    <row r="95" spans="1:4" ht="12.75">
      <c r="A95" s="50">
        <v>2008</v>
      </c>
      <c r="B95" s="50" t="s">
        <v>45</v>
      </c>
      <c r="C95" s="50" t="s">
        <v>52</v>
      </c>
      <c r="D95" s="50">
        <v>978</v>
      </c>
    </row>
    <row r="96" spans="1:4" ht="12.75">
      <c r="A96" s="50">
        <v>2009</v>
      </c>
      <c r="B96" s="50" t="s">
        <v>45</v>
      </c>
      <c r="C96" s="50" t="s">
        <v>52</v>
      </c>
      <c r="D96" s="50">
        <v>1007</v>
      </c>
    </row>
    <row r="97" spans="1:4" ht="12.75">
      <c r="A97" s="50">
        <v>2010</v>
      </c>
      <c r="B97" s="50" t="s">
        <v>45</v>
      </c>
      <c r="C97" s="50" t="s">
        <v>52</v>
      </c>
      <c r="D97" s="50">
        <v>944</v>
      </c>
    </row>
    <row r="98" spans="1:4" ht="12.75">
      <c r="A98" s="50">
        <v>1994</v>
      </c>
      <c r="B98" s="50" t="s">
        <v>45</v>
      </c>
      <c r="C98" s="50" t="s">
        <v>53</v>
      </c>
      <c r="D98" s="50">
        <v>510</v>
      </c>
    </row>
    <row r="99" spans="1:4" ht="12.75">
      <c r="A99" s="50">
        <v>1995</v>
      </c>
      <c r="B99" s="50" t="s">
        <v>45</v>
      </c>
      <c r="C99" s="50" t="s">
        <v>53</v>
      </c>
      <c r="D99" s="50">
        <v>453</v>
      </c>
    </row>
    <row r="100" spans="1:4" ht="12.75">
      <c r="A100" s="50">
        <v>1996</v>
      </c>
      <c r="B100" s="50" t="s">
        <v>45</v>
      </c>
      <c r="C100" s="50" t="s">
        <v>53</v>
      </c>
      <c r="D100" s="50">
        <v>259</v>
      </c>
    </row>
    <row r="101" spans="1:4" ht="12.75">
      <c r="A101" s="50">
        <v>1997</v>
      </c>
      <c r="B101" s="50" t="s">
        <v>45</v>
      </c>
      <c r="C101" s="50" t="s">
        <v>53</v>
      </c>
      <c r="D101" s="50">
        <v>263</v>
      </c>
    </row>
    <row r="102" spans="1:4" ht="12.75">
      <c r="A102" s="50">
        <v>1998</v>
      </c>
      <c r="B102" s="50" t="s">
        <v>45</v>
      </c>
      <c r="C102" s="50" t="s">
        <v>53</v>
      </c>
      <c r="D102" s="50">
        <v>346</v>
      </c>
    </row>
    <row r="103" spans="1:4" ht="12.75">
      <c r="A103" s="50">
        <v>1999</v>
      </c>
      <c r="B103" s="50" t="s">
        <v>45</v>
      </c>
      <c r="C103" s="50" t="s">
        <v>53</v>
      </c>
      <c r="D103" s="50">
        <v>354</v>
      </c>
    </row>
    <row r="104" spans="1:4" ht="12.75">
      <c r="A104" s="50">
        <v>2000</v>
      </c>
      <c r="B104" s="50" t="s">
        <v>45</v>
      </c>
      <c r="C104" s="50" t="s">
        <v>53</v>
      </c>
      <c r="D104" s="50">
        <v>431</v>
      </c>
    </row>
    <row r="105" spans="1:4" ht="12.75">
      <c r="A105" s="50">
        <v>2001</v>
      </c>
      <c r="B105" s="50" t="s">
        <v>45</v>
      </c>
      <c r="C105" s="50" t="s">
        <v>53</v>
      </c>
      <c r="D105" s="50">
        <v>417</v>
      </c>
    </row>
    <row r="106" spans="1:4" ht="12.75">
      <c r="A106" s="50">
        <v>2002</v>
      </c>
      <c r="B106" s="50" t="s">
        <v>45</v>
      </c>
      <c r="C106" s="50" t="s">
        <v>53</v>
      </c>
      <c r="D106" s="50">
        <v>430</v>
      </c>
    </row>
    <row r="107" spans="1:4" ht="12.75">
      <c r="A107" s="50">
        <v>2003</v>
      </c>
      <c r="B107" s="50" t="s">
        <v>45</v>
      </c>
      <c r="C107" s="50" t="s">
        <v>53</v>
      </c>
      <c r="D107" s="50">
        <v>392</v>
      </c>
    </row>
    <row r="108" spans="1:4" ht="12.75">
      <c r="A108" s="50">
        <v>2004</v>
      </c>
      <c r="B108" s="50" t="s">
        <v>45</v>
      </c>
      <c r="C108" s="50" t="s">
        <v>53</v>
      </c>
      <c r="D108" s="50">
        <v>398</v>
      </c>
    </row>
    <row r="109" spans="1:4" ht="12.75">
      <c r="A109" s="50">
        <v>2005</v>
      </c>
      <c r="B109" s="50" t="s">
        <v>45</v>
      </c>
      <c r="C109" s="50" t="s">
        <v>53</v>
      </c>
      <c r="D109" s="50">
        <v>571</v>
      </c>
    </row>
    <row r="110" spans="1:4" ht="12.75">
      <c r="A110" s="50">
        <v>2006</v>
      </c>
      <c r="B110" s="50" t="s">
        <v>45</v>
      </c>
      <c r="C110" s="50" t="s">
        <v>53</v>
      </c>
      <c r="D110" s="50">
        <v>582</v>
      </c>
    </row>
    <row r="111" spans="1:4" ht="12.75">
      <c r="A111" s="50">
        <v>2007</v>
      </c>
      <c r="B111" s="50" t="s">
        <v>45</v>
      </c>
      <c r="C111" s="50" t="s">
        <v>53</v>
      </c>
      <c r="D111" s="50">
        <v>663</v>
      </c>
    </row>
    <row r="112" spans="1:4" ht="12.75">
      <c r="A112" s="50">
        <v>2008</v>
      </c>
      <c r="B112" s="50" t="s">
        <v>45</v>
      </c>
      <c r="C112" s="50" t="s">
        <v>53</v>
      </c>
      <c r="D112" s="50">
        <v>640</v>
      </c>
    </row>
    <row r="113" spans="1:4" ht="12.75">
      <c r="A113" s="50">
        <v>2009</v>
      </c>
      <c r="B113" s="50" t="s">
        <v>45</v>
      </c>
      <c r="C113" s="50" t="s">
        <v>53</v>
      </c>
      <c r="D113" s="50">
        <v>763</v>
      </c>
    </row>
    <row r="114" spans="1:4" ht="12.75">
      <c r="A114" s="50">
        <v>2010</v>
      </c>
      <c r="B114" s="50" t="s">
        <v>45</v>
      </c>
      <c r="C114" s="50" t="s">
        <v>53</v>
      </c>
      <c r="D114" s="50">
        <v>845</v>
      </c>
    </row>
    <row r="115" spans="1:4" ht="12.75">
      <c r="A115" s="50">
        <v>1994</v>
      </c>
      <c r="B115" s="50" t="s">
        <v>45</v>
      </c>
      <c r="C115" s="50" t="s">
        <v>54</v>
      </c>
      <c r="D115" s="50">
        <v>674</v>
      </c>
    </row>
    <row r="116" spans="1:4" ht="12.75">
      <c r="A116" s="50">
        <v>1995</v>
      </c>
      <c r="B116" s="50" t="s">
        <v>45</v>
      </c>
      <c r="C116" s="50" t="s">
        <v>54</v>
      </c>
      <c r="D116" s="50">
        <v>529</v>
      </c>
    </row>
    <row r="117" spans="1:4" ht="12.75">
      <c r="A117" s="50">
        <v>1996</v>
      </c>
      <c r="B117" s="50" t="s">
        <v>45</v>
      </c>
      <c r="C117" s="50" t="s">
        <v>54</v>
      </c>
      <c r="D117" s="50">
        <v>194</v>
      </c>
    </row>
    <row r="118" spans="1:4" ht="12.75">
      <c r="A118" s="50">
        <v>1997</v>
      </c>
      <c r="B118" s="50" t="s">
        <v>45</v>
      </c>
      <c r="C118" s="50" t="s">
        <v>54</v>
      </c>
      <c r="D118" s="50">
        <v>214</v>
      </c>
    </row>
    <row r="119" spans="1:4" ht="12.75">
      <c r="A119" s="50">
        <v>1998</v>
      </c>
      <c r="B119" s="50" t="s">
        <v>45</v>
      </c>
      <c r="C119" s="50" t="s">
        <v>54</v>
      </c>
      <c r="D119" s="50">
        <v>223</v>
      </c>
    </row>
    <row r="120" spans="1:4" ht="12.75">
      <c r="A120" s="50">
        <v>1999</v>
      </c>
      <c r="B120" s="50" t="s">
        <v>45</v>
      </c>
      <c r="C120" s="50" t="s">
        <v>54</v>
      </c>
      <c r="D120" s="50">
        <v>195</v>
      </c>
    </row>
    <row r="121" spans="1:4" ht="12.75">
      <c r="A121" s="50">
        <v>2000</v>
      </c>
      <c r="B121" s="50" t="s">
        <v>45</v>
      </c>
      <c r="C121" s="50" t="s">
        <v>54</v>
      </c>
      <c r="D121" s="50">
        <v>256</v>
      </c>
    </row>
    <row r="122" spans="1:4" ht="12.75">
      <c r="A122" s="50">
        <v>2001</v>
      </c>
      <c r="B122" s="50" t="s">
        <v>45</v>
      </c>
      <c r="C122" s="50" t="s">
        <v>54</v>
      </c>
      <c r="D122" s="50">
        <v>266</v>
      </c>
    </row>
    <row r="123" spans="1:4" ht="12.75">
      <c r="A123" s="50">
        <v>2002</v>
      </c>
      <c r="B123" s="50" t="s">
        <v>45</v>
      </c>
      <c r="C123" s="50" t="s">
        <v>54</v>
      </c>
      <c r="D123" s="50">
        <v>237</v>
      </c>
    </row>
    <row r="124" spans="1:4" ht="12.75">
      <c r="A124" s="50">
        <v>2003</v>
      </c>
      <c r="B124" s="50" t="s">
        <v>45</v>
      </c>
      <c r="C124" s="50" t="s">
        <v>54</v>
      </c>
      <c r="D124" s="50">
        <v>220</v>
      </c>
    </row>
    <row r="125" spans="1:4" ht="12.75">
      <c r="A125" s="50">
        <v>2004</v>
      </c>
      <c r="B125" s="50" t="s">
        <v>45</v>
      </c>
      <c r="C125" s="50" t="s">
        <v>54</v>
      </c>
      <c r="D125" s="50">
        <v>259</v>
      </c>
    </row>
    <row r="126" spans="1:4" ht="12.75">
      <c r="A126" s="50">
        <v>2005</v>
      </c>
      <c r="B126" s="50" t="s">
        <v>45</v>
      </c>
      <c r="C126" s="50" t="s">
        <v>54</v>
      </c>
      <c r="D126" s="50">
        <v>357</v>
      </c>
    </row>
    <row r="127" spans="1:4" ht="12.75">
      <c r="A127" s="50">
        <v>2006</v>
      </c>
      <c r="B127" s="50" t="s">
        <v>45</v>
      </c>
      <c r="C127" s="50" t="s">
        <v>54</v>
      </c>
      <c r="D127" s="50">
        <v>363</v>
      </c>
    </row>
    <row r="128" spans="1:4" ht="12.75">
      <c r="A128" s="50">
        <v>2007</v>
      </c>
      <c r="B128" s="50" t="s">
        <v>45</v>
      </c>
      <c r="C128" s="50" t="s">
        <v>54</v>
      </c>
      <c r="D128" s="50">
        <v>373</v>
      </c>
    </row>
    <row r="129" spans="1:4" ht="12.75">
      <c r="A129" s="50">
        <v>2008</v>
      </c>
      <c r="B129" s="50" t="s">
        <v>45</v>
      </c>
      <c r="C129" s="50" t="s">
        <v>54</v>
      </c>
      <c r="D129" s="50">
        <v>368</v>
      </c>
    </row>
    <row r="130" spans="1:4" ht="12.75">
      <c r="A130" s="50">
        <v>2009</v>
      </c>
      <c r="B130" s="50" t="s">
        <v>45</v>
      </c>
      <c r="C130" s="50" t="s">
        <v>54</v>
      </c>
      <c r="D130" s="50">
        <v>432</v>
      </c>
    </row>
    <row r="131" spans="1:4" ht="12.75">
      <c r="A131" s="50">
        <v>2010</v>
      </c>
      <c r="B131" s="50" t="s">
        <v>45</v>
      </c>
      <c r="C131" s="50" t="s">
        <v>54</v>
      </c>
      <c r="D131" s="50">
        <v>373</v>
      </c>
    </row>
    <row r="132" spans="1:4" ht="12.75">
      <c r="A132" s="50">
        <v>1994</v>
      </c>
      <c r="B132" s="50" t="s">
        <v>45</v>
      </c>
      <c r="C132" s="50" t="s">
        <v>55</v>
      </c>
      <c r="D132" s="50">
        <v>534</v>
      </c>
    </row>
    <row r="133" spans="1:4" ht="12.75">
      <c r="A133" s="50">
        <v>1995</v>
      </c>
      <c r="B133" s="50" t="s">
        <v>45</v>
      </c>
      <c r="C133" s="50" t="s">
        <v>55</v>
      </c>
      <c r="D133" s="50">
        <v>603</v>
      </c>
    </row>
    <row r="134" spans="1:4" ht="12.75">
      <c r="A134" s="50">
        <v>1996</v>
      </c>
      <c r="B134" s="50" t="s">
        <v>45</v>
      </c>
      <c r="C134" s="50" t="s">
        <v>55</v>
      </c>
      <c r="D134" s="50">
        <v>309</v>
      </c>
    </row>
    <row r="135" spans="1:4" ht="12.75">
      <c r="A135" s="50">
        <v>1997</v>
      </c>
      <c r="B135" s="50" t="s">
        <v>45</v>
      </c>
      <c r="C135" s="50" t="s">
        <v>55</v>
      </c>
      <c r="D135" s="50">
        <v>280</v>
      </c>
    </row>
    <row r="136" spans="1:4" ht="12.75">
      <c r="A136" s="50">
        <v>1998</v>
      </c>
      <c r="B136" s="50" t="s">
        <v>45</v>
      </c>
      <c r="C136" s="50" t="s">
        <v>55</v>
      </c>
      <c r="D136" s="50">
        <v>322</v>
      </c>
    </row>
    <row r="137" spans="1:4" ht="12.75">
      <c r="A137" s="50">
        <v>1999</v>
      </c>
      <c r="B137" s="50" t="s">
        <v>45</v>
      </c>
      <c r="C137" s="50" t="s">
        <v>55</v>
      </c>
      <c r="D137" s="50">
        <v>429</v>
      </c>
    </row>
    <row r="138" spans="1:4" ht="12.75">
      <c r="A138" s="50">
        <v>2000</v>
      </c>
      <c r="B138" s="50" t="s">
        <v>45</v>
      </c>
      <c r="C138" s="50" t="s">
        <v>55</v>
      </c>
      <c r="D138" s="50">
        <v>420</v>
      </c>
    </row>
    <row r="139" spans="1:4" ht="12.75">
      <c r="A139" s="50">
        <v>2001</v>
      </c>
      <c r="B139" s="50" t="s">
        <v>45</v>
      </c>
      <c r="C139" s="50" t="s">
        <v>55</v>
      </c>
      <c r="D139" s="50">
        <v>515</v>
      </c>
    </row>
    <row r="140" spans="1:4" ht="12.75">
      <c r="A140" s="50">
        <v>2002</v>
      </c>
      <c r="B140" s="50" t="s">
        <v>45</v>
      </c>
      <c r="C140" s="50" t="s">
        <v>55</v>
      </c>
      <c r="D140" s="50">
        <v>585</v>
      </c>
    </row>
    <row r="141" spans="1:4" ht="12.75">
      <c r="A141" s="50">
        <v>2003</v>
      </c>
      <c r="B141" s="50" t="s">
        <v>45</v>
      </c>
      <c r="C141" s="50" t="s">
        <v>55</v>
      </c>
      <c r="D141" s="50">
        <v>551</v>
      </c>
    </row>
    <row r="142" spans="1:4" ht="12.75">
      <c r="A142" s="50">
        <v>2004</v>
      </c>
      <c r="B142" s="50" t="s">
        <v>45</v>
      </c>
      <c r="C142" s="50" t="s">
        <v>55</v>
      </c>
      <c r="D142" s="50">
        <v>608</v>
      </c>
    </row>
    <row r="143" spans="1:4" ht="12.75">
      <c r="A143" s="50">
        <v>2005</v>
      </c>
      <c r="B143" s="50" t="s">
        <v>45</v>
      </c>
      <c r="C143" s="50" t="s">
        <v>55</v>
      </c>
      <c r="D143" s="50">
        <v>596</v>
      </c>
    </row>
    <row r="144" spans="1:4" ht="12.75">
      <c r="A144" s="50">
        <v>2006</v>
      </c>
      <c r="B144" s="50" t="s">
        <v>45</v>
      </c>
      <c r="C144" s="50" t="s">
        <v>55</v>
      </c>
      <c r="D144" s="50">
        <v>631</v>
      </c>
    </row>
    <row r="145" spans="1:4" ht="12.75">
      <c r="A145" s="50">
        <v>2007</v>
      </c>
      <c r="B145" s="50" t="s">
        <v>45</v>
      </c>
      <c r="C145" s="50" t="s">
        <v>55</v>
      </c>
      <c r="D145" s="50">
        <v>648</v>
      </c>
    </row>
    <row r="146" spans="1:4" ht="12.75">
      <c r="A146" s="50">
        <v>2008</v>
      </c>
      <c r="B146" s="50" t="s">
        <v>45</v>
      </c>
      <c r="C146" s="50" t="s">
        <v>55</v>
      </c>
      <c r="D146" s="50">
        <v>452</v>
      </c>
    </row>
    <row r="147" spans="1:4" ht="12.75">
      <c r="A147" s="50">
        <v>2009</v>
      </c>
      <c r="B147" s="50" t="s">
        <v>45</v>
      </c>
      <c r="C147" s="50" t="s">
        <v>55</v>
      </c>
      <c r="D147" s="50">
        <v>842</v>
      </c>
    </row>
    <row r="148" spans="1:4" ht="12.75">
      <c r="A148" s="50">
        <v>2010</v>
      </c>
      <c r="B148" s="50" t="s">
        <v>45</v>
      </c>
      <c r="C148" s="50" t="s">
        <v>55</v>
      </c>
      <c r="D148" s="50">
        <v>832</v>
      </c>
    </row>
    <row r="149" spans="1:4" ht="12.75">
      <c r="A149" s="50">
        <v>1994</v>
      </c>
      <c r="B149" s="50" t="s">
        <v>45</v>
      </c>
      <c r="C149" s="50" t="s">
        <v>56</v>
      </c>
      <c r="D149" s="50">
        <v>286</v>
      </c>
    </row>
    <row r="150" spans="1:4" ht="12.75">
      <c r="A150" s="50">
        <v>1995</v>
      </c>
      <c r="B150" s="50" t="s">
        <v>45</v>
      </c>
      <c r="C150" s="50" t="s">
        <v>56</v>
      </c>
      <c r="D150" s="50">
        <v>263</v>
      </c>
    </row>
    <row r="151" spans="1:4" ht="12.75">
      <c r="A151" s="50">
        <v>1996</v>
      </c>
      <c r="B151" s="50" t="s">
        <v>45</v>
      </c>
      <c r="C151" s="50" t="s">
        <v>56</v>
      </c>
      <c r="D151" s="50">
        <v>217</v>
      </c>
    </row>
    <row r="152" spans="1:4" ht="12.75">
      <c r="A152" s="50">
        <v>1997</v>
      </c>
      <c r="B152" s="50" t="s">
        <v>45</v>
      </c>
      <c r="C152" s="50" t="s">
        <v>56</v>
      </c>
      <c r="D152" s="50">
        <v>209</v>
      </c>
    </row>
    <row r="153" spans="1:4" ht="12.75">
      <c r="A153" s="50">
        <v>1999</v>
      </c>
      <c r="B153" s="50" t="s">
        <v>45</v>
      </c>
      <c r="C153" s="50" t="s">
        <v>56</v>
      </c>
      <c r="D153" s="50">
        <v>278</v>
      </c>
    </row>
    <row r="154" spans="1:4" ht="12.75">
      <c r="A154" s="50">
        <v>2000</v>
      </c>
      <c r="B154" s="50" t="s">
        <v>45</v>
      </c>
      <c r="C154" s="50" t="s">
        <v>56</v>
      </c>
      <c r="D154" s="50">
        <v>306</v>
      </c>
    </row>
    <row r="155" spans="1:4" ht="12.75">
      <c r="A155" s="50">
        <v>2001</v>
      </c>
      <c r="B155" s="50" t="s">
        <v>45</v>
      </c>
      <c r="C155" s="50" t="s">
        <v>56</v>
      </c>
      <c r="D155" s="50">
        <v>338</v>
      </c>
    </row>
    <row r="156" spans="1:4" ht="12.75">
      <c r="A156" s="50">
        <v>2002</v>
      </c>
      <c r="B156" s="50" t="s">
        <v>45</v>
      </c>
      <c r="C156" s="50" t="s">
        <v>56</v>
      </c>
      <c r="D156" s="50">
        <v>366</v>
      </c>
    </row>
    <row r="157" spans="1:4" ht="12.75">
      <c r="A157" s="50">
        <v>2003</v>
      </c>
      <c r="B157" s="50" t="s">
        <v>45</v>
      </c>
      <c r="C157" s="50" t="s">
        <v>56</v>
      </c>
      <c r="D157" s="50">
        <v>392</v>
      </c>
    </row>
    <row r="158" spans="1:4" ht="12.75">
      <c r="A158" s="50">
        <v>2004</v>
      </c>
      <c r="B158" s="50" t="s">
        <v>45</v>
      </c>
      <c r="C158" s="50" t="s">
        <v>56</v>
      </c>
      <c r="D158" s="50">
        <v>342</v>
      </c>
    </row>
    <row r="159" spans="1:4" ht="12.75">
      <c r="A159" s="50">
        <v>2005</v>
      </c>
      <c r="B159" s="50" t="s">
        <v>45</v>
      </c>
      <c r="C159" s="50" t="s">
        <v>56</v>
      </c>
      <c r="D159" s="50">
        <v>342</v>
      </c>
    </row>
    <row r="160" spans="1:4" ht="12.75">
      <c r="A160" s="50">
        <v>2006</v>
      </c>
      <c r="B160" s="50" t="s">
        <v>45</v>
      </c>
      <c r="C160" s="50" t="s">
        <v>56</v>
      </c>
      <c r="D160" s="50">
        <v>293</v>
      </c>
    </row>
    <row r="161" spans="1:4" ht="12.75">
      <c r="A161" s="50">
        <v>2007</v>
      </c>
      <c r="B161" s="50" t="s">
        <v>45</v>
      </c>
      <c r="C161" s="50" t="s">
        <v>56</v>
      </c>
      <c r="D161" s="50">
        <v>349</v>
      </c>
    </row>
    <row r="162" spans="1:4" ht="12.75">
      <c r="A162" s="50">
        <v>2008</v>
      </c>
      <c r="B162" s="50" t="s">
        <v>45</v>
      </c>
      <c r="C162" s="50" t="s">
        <v>56</v>
      </c>
      <c r="D162" s="50">
        <v>442</v>
      </c>
    </row>
    <row r="163" spans="1:4" ht="12.75">
      <c r="A163" s="50">
        <v>2009</v>
      </c>
      <c r="B163" s="50" t="s">
        <v>45</v>
      </c>
      <c r="C163" s="50" t="s">
        <v>56</v>
      </c>
      <c r="D163" s="50">
        <v>523</v>
      </c>
    </row>
    <row r="164" spans="1:4" ht="12.75">
      <c r="A164" s="50">
        <v>2010</v>
      </c>
      <c r="B164" s="50" t="s">
        <v>45</v>
      </c>
      <c r="C164" s="50" t="s">
        <v>56</v>
      </c>
      <c r="D164" s="50">
        <v>525</v>
      </c>
    </row>
    <row r="165" spans="1:4" ht="12.75">
      <c r="A165" s="50">
        <v>1994</v>
      </c>
      <c r="B165" s="50" t="s">
        <v>45</v>
      </c>
      <c r="C165" s="50" t="s">
        <v>57</v>
      </c>
      <c r="D165" s="50">
        <v>147</v>
      </c>
    </row>
    <row r="166" spans="1:4" ht="12.75">
      <c r="A166" s="50">
        <v>1995</v>
      </c>
      <c r="B166" s="50" t="s">
        <v>45</v>
      </c>
      <c r="C166" s="50" t="s">
        <v>57</v>
      </c>
      <c r="D166" s="50">
        <v>494</v>
      </c>
    </row>
    <row r="167" spans="1:4" ht="12.75">
      <c r="A167" s="50">
        <v>1996</v>
      </c>
      <c r="B167" s="50" t="s">
        <v>45</v>
      </c>
      <c r="C167" s="50" t="s">
        <v>57</v>
      </c>
      <c r="D167" s="50">
        <v>318</v>
      </c>
    </row>
    <row r="168" spans="1:4" ht="12.75">
      <c r="A168" s="50">
        <v>1997</v>
      </c>
      <c r="B168" s="50" t="s">
        <v>45</v>
      </c>
      <c r="C168" s="50" t="s">
        <v>57</v>
      </c>
      <c r="D168" s="50">
        <v>277</v>
      </c>
    </row>
    <row r="169" spans="1:4" ht="12.75">
      <c r="A169" s="50">
        <v>1998</v>
      </c>
      <c r="B169" s="50" t="s">
        <v>45</v>
      </c>
      <c r="C169" s="50" t="s">
        <v>57</v>
      </c>
      <c r="D169" s="50">
        <v>374</v>
      </c>
    </row>
    <row r="170" spans="1:4" ht="12.75">
      <c r="A170" s="50">
        <v>1999</v>
      </c>
      <c r="B170" s="50" t="s">
        <v>45</v>
      </c>
      <c r="C170" s="50" t="s">
        <v>57</v>
      </c>
      <c r="D170" s="50">
        <v>439</v>
      </c>
    </row>
    <row r="171" spans="1:4" ht="12.75">
      <c r="A171" s="50">
        <v>2000</v>
      </c>
      <c r="B171" s="50" t="s">
        <v>45</v>
      </c>
      <c r="C171" s="50" t="s">
        <v>57</v>
      </c>
      <c r="D171" s="50">
        <v>478</v>
      </c>
    </row>
    <row r="172" spans="1:4" ht="12.75">
      <c r="A172" s="50">
        <v>2001</v>
      </c>
      <c r="B172" s="50" t="s">
        <v>45</v>
      </c>
      <c r="C172" s="50" t="s">
        <v>57</v>
      </c>
      <c r="D172" s="50">
        <v>533</v>
      </c>
    </row>
    <row r="173" spans="1:4" ht="12.75">
      <c r="A173" s="50">
        <v>2002</v>
      </c>
      <c r="B173" s="50" t="s">
        <v>45</v>
      </c>
      <c r="C173" s="50" t="s">
        <v>57</v>
      </c>
      <c r="D173" s="50">
        <v>561</v>
      </c>
    </row>
    <row r="174" spans="1:4" ht="12.75">
      <c r="A174" s="50">
        <v>2003</v>
      </c>
      <c r="B174" s="50" t="s">
        <v>45</v>
      </c>
      <c r="C174" s="50" t="s">
        <v>57</v>
      </c>
      <c r="D174" s="50">
        <v>740</v>
      </c>
    </row>
    <row r="175" spans="1:4" ht="12.75">
      <c r="A175" s="50">
        <v>2004</v>
      </c>
      <c r="B175" s="50" t="s">
        <v>45</v>
      </c>
      <c r="C175" s="50" t="s">
        <v>57</v>
      </c>
      <c r="D175" s="50">
        <v>707</v>
      </c>
    </row>
    <row r="176" spans="1:4" ht="12.75">
      <c r="A176" s="50">
        <v>2005</v>
      </c>
      <c r="B176" s="50" t="s">
        <v>45</v>
      </c>
      <c r="C176" s="50" t="s">
        <v>57</v>
      </c>
      <c r="D176" s="50">
        <v>562</v>
      </c>
    </row>
    <row r="177" spans="1:4" ht="12.75">
      <c r="A177" s="50">
        <v>2006</v>
      </c>
      <c r="B177" s="50" t="s">
        <v>45</v>
      </c>
      <c r="C177" s="50" t="s">
        <v>57</v>
      </c>
      <c r="D177" s="50">
        <v>682</v>
      </c>
    </row>
    <row r="178" spans="1:4" ht="12.75">
      <c r="A178" s="50">
        <v>2007</v>
      </c>
      <c r="B178" s="50" t="s">
        <v>45</v>
      </c>
      <c r="C178" s="50" t="s">
        <v>57</v>
      </c>
      <c r="D178" s="50">
        <v>696</v>
      </c>
    </row>
    <row r="179" spans="1:4" ht="12.75">
      <c r="A179" s="50">
        <v>2008</v>
      </c>
      <c r="B179" s="50" t="s">
        <v>45</v>
      </c>
      <c r="C179" s="50" t="s">
        <v>57</v>
      </c>
      <c r="D179" s="50">
        <v>666</v>
      </c>
    </row>
    <row r="180" spans="1:4" ht="12.75">
      <c r="A180" s="50">
        <v>2009</v>
      </c>
      <c r="B180" s="50" t="s">
        <v>45</v>
      </c>
      <c r="C180" s="50" t="s">
        <v>57</v>
      </c>
      <c r="D180" s="50">
        <v>893</v>
      </c>
    </row>
    <row r="181" spans="1:4" ht="12.75">
      <c r="A181" s="50">
        <v>2010</v>
      </c>
      <c r="B181" s="50" t="s">
        <v>45</v>
      </c>
      <c r="C181" s="50" t="s">
        <v>57</v>
      </c>
      <c r="D181" s="50">
        <v>780</v>
      </c>
    </row>
    <row r="182" spans="1:4" ht="12.75">
      <c r="A182" s="50">
        <v>1994</v>
      </c>
      <c r="B182" s="50" t="s">
        <v>45</v>
      </c>
      <c r="C182" s="50" t="s">
        <v>58</v>
      </c>
      <c r="D182" s="50">
        <v>209</v>
      </c>
    </row>
    <row r="183" spans="1:4" ht="12.75">
      <c r="A183" s="50">
        <v>1995</v>
      </c>
      <c r="B183" s="50" t="s">
        <v>45</v>
      </c>
      <c r="C183" s="50" t="s">
        <v>58</v>
      </c>
      <c r="D183" s="50">
        <v>207</v>
      </c>
    </row>
    <row r="184" spans="1:4" ht="12.75">
      <c r="A184" s="50">
        <v>1996</v>
      </c>
      <c r="B184" s="50" t="s">
        <v>45</v>
      </c>
      <c r="C184" s="50" t="s">
        <v>58</v>
      </c>
      <c r="D184" s="50">
        <v>193</v>
      </c>
    </row>
    <row r="185" spans="1:4" ht="12.75">
      <c r="A185" s="50">
        <v>1997</v>
      </c>
      <c r="B185" s="50" t="s">
        <v>45</v>
      </c>
      <c r="C185" s="50" t="s">
        <v>58</v>
      </c>
      <c r="D185" s="50">
        <v>258</v>
      </c>
    </row>
    <row r="186" spans="1:4" ht="12.75">
      <c r="A186" s="50">
        <v>1998</v>
      </c>
      <c r="B186" s="50" t="s">
        <v>45</v>
      </c>
      <c r="C186" s="50" t="s">
        <v>58</v>
      </c>
      <c r="D186" s="50">
        <v>249</v>
      </c>
    </row>
    <row r="187" spans="1:4" ht="12.75">
      <c r="A187" s="50">
        <v>1999</v>
      </c>
      <c r="B187" s="50" t="s">
        <v>45</v>
      </c>
      <c r="C187" s="50" t="s">
        <v>58</v>
      </c>
      <c r="D187" s="50">
        <v>282</v>
      </c>
    </row>
    <row r="188" spans="1:4" ht="12.75">
      <c r="A188" s="50">
        <v>2000</v>
      </c>
      <c r="B188" s="50" t="s">
        <v>45</v>
      </c>
      <c r="C188" s="50" t="s">
        <v>58</v>
      </c>
      <c r="D188" s="50">
        <v>290</v>
      </c>
    </row>
    <row r="189" spans="1:4" ht="12.75">
      <c r="A189" s="50">
        <v>2001</v>
      </c>
      <c r="B189" s="50" t="s">
        <v>45</v>
      </c>
      <c r="C189" s="50" t="s">
        <v>58</v>
      </c>
      <c r="D189" s="50">
        <v>281</v>
      </c>
    </row>
    <row r="190" spans="1:4" ht="12.75">
      <c r="A190" s="50">
        <v>2002</v>
      </c>
      <c r="B190" s="50" t="s">
        <v>45</v>
      </c>
      <c r="C190" s="50" t="s">
        <v>58</v>
      </c>
      <c r="D190" s="50">
        <v>286</v>
      </c>
    </row>
    <row r="191" spans="1:4" ht="12.75">
      <c r="A191" s="50">
        <v>2003</v>
      </c>
      <c r="B191" s="50" t="s">
        <v>45</v>
      </c>
      <c r="C191" s="50" t="s">
        <v>58</v>
      </c>
      <c r="D191" s="50">
        <v>296</v>
      </c>
    </row>
    <row r="192" spans="1:4" ht="12.75">
      <c r="A192" s="50">
        <v>2004</v>
      </c>
      <c r="B192" s="50" t="s">
        <v>45</v>
      </c>
      <c r="C192" s="50" t="s">
        <v>58</v>
      </c>
      <c r="D192" s="50">
        <v>308</v>
      </c>
    </row>
    <row r="193" spans="1:4" ht="12.75">
      <c r="A193" s="50">
        <v>2005</v>
      </c>
      <c r="B193" s="50" t="s">
        <v>45</v>
      </c>
      <c r="C193" s="50" t="s">
        <v>58</v>
      </c>
      <c r="D193" s="50">
        <v>230</v>
      </c>
    </row>
    <row r="194" spans="1:4" ht="12.75">
      <c r="A194" s="50">
        <v>2006</v>
      </c>
      <c r="B194" s="50" t="s">
        <v>45</v>
      </c>
      <c r="C194" s="50" t="s">
        <v>58</v>
      </c>
      <c r="D194" s="50">
        <v>263</v>
      </c>
    </row>
    <row r="195" spans="1:4" ht="12.75">
      <c r="A195" s="50">
        <v>2007</v>
      </c>
      <c r="B195" s="50" t="s">
        <v>45</v>
      </c>
      <c r="C195" s="50" t="s">
        <v>58</v>
      </c>
      <c r="D195" s="50">
        <v>296</v>
      </c>
    </row>
    <row r="196" spans="1:4" ht="12.75">
      <c r="A196" s="50">
        <v>2008</v>
      </c>
      <c r="B196" s="50" t="s">
        <v>45</v>
      </c>
      <c r="C196" s="50" t="s">
        <v>58</v>
      </c>
      <c r="D196" s="50">
        <v>295</v>
      </c>
    </row>
    <row r="197" spans="1:4" ht="12.75">
      <c r="A197" s="50">
        <v>2009</v>
      </c>
      <c r="B197" s="50" t="s">
        <v>45</v>
      </c>
      <c r="C197" s="50" t="s">
        <v>58</v>
      </c>
      <c r="D197" s="50">
        <v>332</v>
      </c>
    </row>
    <row r="198" spans="1:4" ht="12.75">
      <c r="A198" s="50">
        <v>2010</v>
      </c>
      <c r="B198" s="50" t="s">
        <v>45</v>
      </c>
      <c r="C198" s="50" t="s">
        <v>58</v>
      </c>
      <c r="D198" s="50">
        <v>325</v>
      </c>
    </row>
    <row r="199" spans="1:4" ht="12.75">
      <c r="A199" s="50">
        <v>1994</v>
      </c>
      <c r="B199" s="50" t="s">
        <v>45</v>
      </c>
      <c r="C199" s="50" t="s">
        <v>59</v>
      </c>
      <c r="D199" s="50">
        <v>491</v>
      </c>
    </row>
    <row r="200" spans="1:4" ht="12.75">
      <c r="A200" s="50">
        <v>1995</v>
      </c>
      <c r="B200" s="50" t="s">
        <v>45</v>
      </c>
      <c r="C200" s="50" t="s">
        <v>59</v>
      </c>
      <c r="D200" s="50">
        <v>630</v>
      </c>
    </row>
    <row r="201" spans="1:4" ht="12.75">
      <c r="A201" s="50">
        <v>1996</v>
      </c>
      <c r="B201" s="50" t="s">
        <v>45</v>
      </c>
      <c r="C201" s="50" t="s">
        <v>59</v>
      </c>
      <c r="D201" s="50">
        <v>379</v>
      </c>
    </row>
    <row r="202" spans="1:4" ht="12.75">
      <c r="A202" s="50">
        <v>1997</v>
      </c>
      <c r="B202" s="50" t="s">
        <v>45</v>
      </c>
      <c r="C202" s="50" t="s">
        <v>59</v>
      </c>
      <c r="D202" s="50">
        <v>508</v>
      </c>
    </row>
    <row r="203" spans="1:4" ht="12.75">
      <c r="A203" s="50">
        <v>1998</v>
      </c>
      <c r="B203" s="50" t="s">
        <v>45</v>
      </c>
      <c r="C203" s="50" t="s">
        <v>59</v>
      </c>
      <c r="D203" s="50">
        <v>542</v>
      </c>
    </row>
    <row r="204" spans="1:4" ht="12.75">
      <c r="A204" s="50">
        <v>1999</v>
      </c>
      <c r="B204" s="50" t="s">
        <v>45</v>
      </c>
      <c r="C204" s="50" t="s">
        <v>59</v>
      </c>
      <c r="D204" s="50">
        <v>722</v>
      </c>
    </row>
    <row r="205" spans="1:4" ht="12.75">
      <c r="A205" s="50">
        <v>2000</v>
      </c>
      <c r="B205" s="50" t="s">
        <v>45</v>
      </c>
      <c r="C205" s="50" t="s">
        <v>59</v>
      </c>
      <c r="D205" s="50">
        <v>843</v>
      </c>
    </row>
    <row r="206" spans="1:4" ht="12.75">
      <c r="A206" s="50">
        <v>2001</v>
      </c>
      <c r="B206" s="50" t="s">
        <v>45</v>
      </c>
      <c r="C206" s="50" t="s">
        <v>59</v>
      </c>
      <c r="D206" s="50">
        <v>1358</v>
      </c>
    </row>
    <row r="207" spans="1:4" ht="12.75">
      <c r="A207" s="50">
        <v>2002</v>
      </c>
      <c r="B207" s="50" t="s">
        <v>45</v>
      </c>
      <c r="C207" s="50" t="s">
        <v>59</v>
      </c>
      <c r="D207" s="50">
        <v>1406</v>
      </c>
    </row>
    <row r="208" spans="1:4" ht="12.75">
      <c r="A208" s="50">
        <v>2003</v>
      </c>
      <c r="B208" s="50" t="s">
        <v>45</v>
      </c>
      <c r="C208" s="50" t="s">
        <v>59</v>
      </c>
      <c r="D208" s="50">
        <v>1530</v>
      </c>
    </row>
    <row r="209" spans="1:4" ht="12.75">
      <c r="A209" s="50">
        <v>2004</v>
      </c>
      <c r="B209" s="50" t="s">
        <v>45</v>
      </c>
      <c r="C209" s="50" t="s">
        <v>59</v>
      </c>
      <c r="D209" s="50">
        <v>1543</v>
      </c>
    </row>
    <row r="210" spans="1:4" ht="12.75">
      <c r="A210" s="50">
        <v>2005</v>
      </c>
      <c r="B210" s="50" t="s">
        <v>45</v>
      </c>
      <c r="C210" s="50" t="s">
        <v>59</v>
      </c>
      <c r="D210" s="50">
        <v>1656</v>
      </c>
    </row>
    <row r="211" spans="1:4" ht="12.75">
      <c r="A211" s="50">
        <v>2006</v>
      </c>
      <c r="B211" s="50" t="s">
        <v>45</v>
      </c>
      <c r="C211" s="50" t="s">
        <v>59</v>
      </c>
      <c r="D211" s="50">
        <v>1622</v>
      </c>
    </row>
    <row r="212" spans="1:4" ht="12.75">
      <c r="A212" s="50">
        <v>2007</v>
      </c>
      <c r="B212" s="50" t="s">
        <v>45</v>
      </c>
      <c r="C212" s="50" t="s">
        <v>59</v>
      </c>
      <c r="D212" s="50">
        <v>1748</v>
      </c>
    </row>
    <row r="213" spans="1:4" ht="12.75">
      <c r="A213" s="50">
        <v>2008</v>
      </c>
      <c r="B213" s="50" t="s">
        <v>45</v>
      </c>
      <c r="C213" s="50" t="s">
        <v>59</v>
      </c>
      <c r="D213" s="50">
        <v>1659</v>
      </c>
    </row>
    <row r="214" spans="1:4" ht="12.75">
      <c r="A214" s="50">
        <v>2009</v>
      </c>
      <c r="B214" s="50" t="s">
        <v>45</v>
      </c>
      <c r="C214" s="50" t="s">
        <v>59</v>
      </c>
      <c r="D214" s="50">
        <v>2391</v>
      </c>
    </row>
    <row r="215" spans="1:4" ht="12.75">
      <c r="A215" s="50">
        <v>2010</v>
      </c>
      <c r="B215" s="50" t="s">
        <v>45</v>
      </c>
      <c r="C215" s="50" t="s">
        <v>59</v>
      </c>
      <c r="D215" s="50">
        <v>2597</v>
      </c>
    </row>
    <row r="216" spans="1:4" ht="12.75">
      <c r="A216" s="50">
        <v>1994</v>
      </c>
      <c r="B216" s="50" t="s">
        <v>45</v>
      </c>
      <c r="C216" s="50" t="s">
        <v>60</v>
      </c>
      <c r="D216" s="50">
        <v>1001</v>
      </c>
    </row>
    <row r="217" spans="1:4" ht="12.75">
      <c r="A217" s="50">
        <v>1995</v>
      </c>
      <c r="B217" s="50" t="s">
        <v>45</v>
      </c>
      <c r="C217" s="50" t="s">
        <v>60</v>
      </c>
      <c r="D217" s="50">
        <v>1052</v>
      </c>
    </row>
    <row r="218" spans="1:4" ht="12.75">
      <c r="A218" s="50">
        <v>1996</v>
      </c>
      <c r="B218" s="50" t="s">
        <v>45</v>
      </c>
      <c r="C218" s="50" t="s">
        <v>60</v>
      </c>
      <c r="D218" s="50">
        <v>426</v>
      </c>
    </row>
    <row r="219" spans="1:4" ht="12.75">
      <c r="A219" s="50">
        <v>1997</v>
      </c>
      <c r="B219" s="50" t="s">
        <v>45</v>
      </c>
      <c r="C219" s="50" t="s">
        <v>60</v>
      </c>
      <c r="D219" s="50">
        <v>614</v>
      </c>
    </row>
    <row r="220" spans="1:4" ht="12.75">
      <c r="A220" s="50">
        <v>1998</v>
      </c>
      <c r="B220" s="50" t="s">
        <v>45</v>
      </c>
      <c r="C220" s="50" t="s">
        <v>60</v>
      </c>
      <c r="D220" s="50">
        <v>703</v>
      </c>
    </row>
    <row r="221" spans="1:4" ht="12.75">
      <c r="A221" s="50">
        <v>1999</v>
      </c>
      <c r="B221" s="50" t="s">
        <v>45</v>
      </c>
      <c r="C221" s="50" t="s">
        <v>60</v>
      </c>
      <c r="D221" s="50">
        <v>739</v>
      </c>
    </row>
    <row r="222" spans="1:4" ht="12.75">
      <c r="A222" s="50">
        <v>2000</v>
      </c>
      <c r="B222" s="50" t="s">
        <v>45</v>
      </c>
      <c r="C222" s="50" t="s">
        <v>60</v>
      </c>
      <c r="D222" s="50">
        <v>380</v>
      </c>
    </row>
    <row r="223" spans="1:4" ht="12.75">
      <c r="A223" s="50">
        <v>2001</v>
      </c>
      <c r="B223" s="50" t="s">
        <v>45</v>
      </c>
      <c r="C223" s="50" t="s">
        <v>60</v>
      </c>
      <c r="D223" s="50">
        <v>548</v>
      </c>
    </row>
    <row r="224" spans="1:4" ht="12.75">
      <c r="A224" s="50">
        <v>2002</v>
      </c>
      <c r="B224" s="50" t="s">
        <v>45</v>
      </c>
      <c r="C224" s="50" t="s">
        <v>60</v>
      </c>
      <c r="D224" s="50">
        <v>529</v>
      </c>
    </row>
    <row r="225" spans="1:4" ht="12.75">
      <c r="A225" s="50">
        <v>2003</v>
      </c>
      <c r="B225" s="50" t="s">
        <v>45</v>
      </c>
      <c r="C225" s="50" t="s">
        <v>60</v>
      </c>
      <c r="D225" s="50">
        <v>1129</v>
      </c>
    </row>
    <row r="226" spans="1:4" ht="12.75">
      <c r="A226" s="50">
        <v>2004</v>
      </c>
      <c r="B226" s="50" t="s">
        <v>45</v>
      </c>
      <c r="C226" s="50" t="s">
        <v>60</v>
      </c>
      <c r="D226" s="50">
        <v>1133</v>
      </c>
    </row>
    <row r="227" spans="1:4" ht="12.75">
      <c r="A227" s="50">
        <v>2005</v>
      </c>
      <c r="B227" s="50" t="s">
        <v>45</v>
      </c>
      <c r="C227" s="50" t="s">
        <v>60</v>
      </c>
      <c r="D227" s="50">
        <v>1080</v>
      </c>
    </row>
    <row r="228" spans="1:4" ht="12.75">
      <c r="A228" s="50">
        <v>2006</v>
      </c>
      <c r="B228" s="50" t="s">
        <v>45</v>
      </c>
      <c r="C228" s="50" t="s">
        <v>60</v>
      </c>
      <c r="D228" s="50">
        <v>1170</v>
      </c>
    </row>
    <row r="229" spans="1:4" ht="12.75">
      <c r="A229" s="50">
        <v>2007</v>
      </c>
      <c r="B229" s="50" t="s">
        <v>45</v>
      </c>
      <c r="C229" s="50" t="s">
        <v>60</v>
      </c>
      <c r="D229" s="50">
        <v>1189</v>
      </c>
    </row>
    <row r="230" spans="1:4" ht="12.75">
      <c r="A230" s="50">
        <v>2008</v>
      </c>
      <c r="B230" s="50" t="s">
        <v>45</v>
      </c>
      <c r="C230" s="50" t="s">
        <v>60</v>
      </c>
      <c r="D230" s="50">
        <v>1322</v>
      </c>
    </row>
    <row r="231" spans="1:4" ht="12.75">
      <c r="A231" s="50">
        <v>2009</v>
      </c>
      <c r="B231" s="50" t="s">
        <v>45</v>
      </c>
      <c r="C231" s="50" t="s">
        <v>60</v>
      </c>
      <c r="D231" s="50">
        <v>1467</v>
      </c>
    </row>
    <row r="232" spans="1:4" ht="12.75">
      <c r="A232" s="50">
        <v>2010</v>
      </c>
      <c r="B232" s="50" t="s">
        <v>45</v>
      </c>
      <c r="C232" s="50" t="s">
        <v>60</v>
      </c>
      <c r="D232" s="50">
        <v>1385</v>
      </c>
    </row>
    <row r="233" spans="1:4" ht="12.75">
      <c r="A233" s="50">
        <v>1994</v>
      </c>
      <c r="B233" s="50" t="s">
        <v>45</v>
      </c>
      <c r="C233" s="50" t="s">
        <v>61</v>
      </c>
      <c r="D233" s="50">
        <v>733</v>
      </c>
    </row>
    <row r="234" spans="1:4" ht="12.75">
      <c r="A234" s="50">
        <v>1995</v>
      </c>
      <c r="B234" s="50" t="s">
        <v>45</v>
      </c>
      <c r="C234" s="50" t="s">
        <v>61</v>
      </c>
      <c r="D234" s="50">
        <v>714</v>
      </c>
    </row>
    <row r="235" spans="1:4" ht="12.75">
      <c r="A235" s="50">
        <v>1996</v>
      </c>
      <c r="B235" s="50" t="s">
        <v>45</v>
      </c>
      <c r="C235" s="50" t="s">
        <v>61</v>
      </c>
      <c r="D235" s="50">
        <v>549</v>
      </c>
    </row>
    <row r="236" spans="1:4" ht="12.75">
      <c r="A236" s="50">
        <v>1997</v>
      </c>
      <c r="B236" s="50" t="s">
        <v>45</v>
      </c>
      <c r="C236" s="50" t="s">
        <v>61</v>
      </c>
      <c r="D236" s="50">
        <v>568</v>
      </c>
    </row>
    <row r="237" spans="1:4" ht="12.75">
      <c r="A237" s="50">
        <v>1998</v>
      </c>
      <c r="B237" s="50" t="s">
        <v>45</v>
      </c>
      <c r="C237" s="50" t="s">
        <v>61</v>
      </c>
      <c r="D237" s="50">
        <v>550</v>
      </c>
    </row>
    <row r="238" spans="1:4" ht="12.75">
      <c r="A238" s="50">
        <v>1999</v>
      </c>
      <c r="B238" s="50" t="s">
        <v>45</v>
      </c>
      <c r="C238" s="50" t="s">
        <v>61</v>
      </c>
      <c r="D238" s="50">
        <v>562</v>
      </c>
    </row>
    <row r="239" spans="1:4" ht="12.75">
      <c r="A239" s="50">
        <v>2000</v>
      </c>
      <c r="B239" s="50" t="s">
        <v>45</v>
      </c>
      <c r="C239" s="50" t="s">
        <v>61</v>
      </c>
      <c r="D239" s="50">
        <v>513</v>
      </c>
    </row>
    <row r="240" spans="1:4" ht="12.75">
      <c r="A240" s="50">
        <v>2001</v>
      </c>
      <c r="B240" s="50" t="s">
        <v>45</v>
      </c>
      <c r="C240" s="50" t="s">
        <v>61</v>
      </c>
      <c r="D240" s="50">
        <v>653</v>
      </c>
    </row>
    <row r="241" spans="1:4" ht="12.75">
      <c r="A241" s="50">
        <v>2002</v>
      </c>
      <c r="B241" s="50" t="s">
        <v>45</v>
      </c>
      <c r="C241" s="50" t="s">
        <v>61</v>
      </c>
      <c r="D241" s="50">
        <v>761</v>
      </c>
    </row>
    <row r="242" spans="1:4" ht="12.75">
      <c r="A242" s="50">
        <v>2003</v>
      </c>
      <c r="B242" s="50" t="s">
        <v>45</v>
      </c>
      <c r="C242" s="50" t="s">
        <v>61</v>
      </c>
      <c r="D242" s="50">
        <v>777</v>
      </c>
    </row>
    <row r="243" spans="1:4" ht="12.75">
      <c r="A243" s="50">
        <v>2004</v>
      </c>
      <c r="B243" s="50" t="s">
        <v>45</v>
      </c>
      <c r="C243" s="50" t="s">
        <v>61</v>
      </c>
      <c r="D243" s="50">
        <v>727</v>
      </c>
    </row>
    <row r="244" spans="1:4" ht="12.75">
      <c r="A244" s="50">
        <v>2005</v>
      </c>
      <c r="B244" s="50" t="s">
        <v>45</v>
      </c>
      <c r="C244" s="50" t="s">
        <v>61</v>
      </c>
      <c r="D244" s="50">
        <v>739</v>
      </c>
    </row>
    <row r="245" spans="1:4" ht="12.75">
      <c r="A245" s="50">
        <v>2006</v>
      </c>
      <c r="B245" s="50" t="s">
        <v>45</v>
      </c>
      <c r="C245" s="50" t="s">
        <v>61</v>
      </c>
      <c r="D245" s="50">
        <v>687</v>
      </c>
    </row>
    <row r="246" spans="1:4" ht="12.75">
      <c r="A246" s="50">
        <v>2007</v>
      </c>
      <c r="B246" s="50" t="s">
        <v>45</v>
      </c>
      <c r="C246" s="50" t="s">
        <v>61</v>
      </c>
      <c r="D246" s="50">
        <v>650</v>
      </c>
    </row>
    <row r="247" spans="1:4" ht="12.75">
      <c r="A247" s="50">
        <v>2008</v>
      </c>
      <c r="B247" s="50" t="s">
        <v>45</v>
      </c>
      <c r="C247" s="50" t="s">
        <v>61</v>
      </c>
      <c r="D247" s="50">
        <v>740</v>
      </c>
    </row>
    <row r="248" spans="1:4" ht="12.75">
      <c r="A248" s="50">
        <v>2009</v>
      </c>
      <c r="B248" s="50" t="s">
        <v>45</v>
      </c>
      <c r="C248" s="50" t="s">
        <v>61</v>
      </c>
      <c r="D248" s="50">
        <v>865</v>
      </c>
    </row>
    <row r="249" spans="1:4" ht="12.75">
      <c r="A249" s="50">
        <v>2010</v>
      </c>
      <c r="B249" s="50" t="s">
        <v>45</v>
      </c>
      <c r="C249" s="50" t="s">
        <v>61</v>
      </c>
      <c r="D249" s="50">
        <v>1021</v>
      </c>
    </row>
    <row r="250" spans="1:4" ht="12.75">
      <c r="A250" s="50">
        <v>1994</v>
      </c>
      <c r="B250" s="50" t="s">
        <v>45</v>
      </c>
      <c r="C250" s="50" t="s">
        <v>62</v>
      </c>
      <c r="D250" s="50">
        <v>686</v>
      </c>
    </row>
    <row r="251" spans="1:4" ht="12.75">
      <c r="A251" s="50">
        <v>1995</v>
      </c>
      <c r="B251" s="50" t="s">
        <v>45</v>
      </c>
      <c r="C251" s="50" t="s">
        <v>62</v>
      </c>
      <c r="D251" s="50">
        <v>652</v>
      </c>
    </row>
    <row r="252" spans="1:4" ht="12.75">
      <c r="A252" s="50">
        <v>1996</v>
      </c>
      <c r="B252" s="50" t="s">
        <v>45</v>
      </c>
      <c r="C252" s="50" t="s">
        <v>62</v>
      </c>
      <c r="D252" s="50">
        <v>309</v>
      </c>
    </row>
    <row r="253" spans="1:4" ht="12.75">
      <c r="A253" s="50">
        <v>1997</v>
      </c>
      <c r="B253" s="50" t="s">
        <v>45</v>
      </c>
      <c r="C253" s="50" t="s">
        <v>62</v>
      </c>
      <c r="D253" s="50">
        <v>275</v>
      </c>
    </row>
    <row r="254" spans="1:4" ht="12.75">
      <c r="A254" s="50">
        <v>1998</v>
      </c>
      <c r="B254" s="50" t="s">
        <v>45</v>
      </c>
      <c r="C254" s="50" t="s">
        <v>62</v>
      </c>
      <c r="D254" s="50">
        <v>256</v>
      </c>
    </row>
    <row r="255" spans="1:4" ht="12.75">
      <c r="A255" s="50">
        <v>1999</v>
      </c>
      <c r="B255" s="50" t="s">
        <v>45</v>
      </c>
      <c r="C255" s="50" t="s">
        <v>62</v>
      </c>
      <c r="D255" s="50">
        <v>308</v>
      </c>
    </row>
    <row r="256" spans="1:4" ht="12.75">
      <c r="A256" s="50">
        <v>2000</v>
      </c>
      <c r="B256" s="50" t="s">
        <v>45</v>
      </c>
      <c r="C256" s="50" t="s">
        <v>62</v>
      </c>
      <c r="D256" s="50">
        <v>392</v>
      </c>
    </row>
    <row r="257" spans="1:4" ht="12.75">
      <c r="A257" s="50">
        <v>2001</v>
      </c>
      <c r="B257" s="50" t="s">
        <v>45</v>
      </c>
      <c r="C257" s="50" t="s">
        <v>62</v>
      </c>
      <c r="D257" s="50">
        <v>426</v>
      </c>
    </row>
    <row r="258" spans="1:4" ht="12.75">
      <c r="A258" s="50">
        <v>2002</v>
      </c>
      <c r="B258" s="50" t="s">
        <v>45</v>
      </c>
      <c r="C258" s="50" t="s">
        <v>62</v>
      </c>
      <c r="D258" s="50">
        <v>581</v>
      </c>
    </row>
    <row r="259" spans="1:4" ht="12.75">
      <c r="A259" s="50">
        <v>2003</v>
      </c>
      <c r="B259" s="50" t="s">
        <v>45</v>
      </c>
      <c r="C259" s="50" t="s">
        <v>62</v>
      </c>
      <c r="D259" s="50">
        <v>517</v>
      </c>
    </row>
    <row r="260" spans="1:4" ht="12.75">
      <c r="A260" s="50">
        <v>2004</v>
      </c>
      <c r="B260" s="50" t="s">
        <v>45</v>
      </c>
      <c r="C260" s="50" t="s">
        <v>62</v>
      </c>
      <c r="D260" s="50">
        <v>517</v>
      </c>
    </row>
    <row r="261" spans="1:4" ht="12.75">
      <c r="A261" s="50">
        <v>2005</v>
      </c>
      <c r="B261" s="50" t="s">
        <v>45</v>
      </c>
      <c r="C261" s="50" t="s">
        <v>62</v>
      </c>
      <c r="D261" s="50">
        <v>478</v>
      </c>
    </row>
    <row r="262" spans="1:4" ht="12.75">
      <c r="A262" s="50">
        <v>2006</v>
      </c>
      <c r="B262" s="50" t="s">
        <v>45</v>
      </c>
      <c r="C262" s="50" t="s">
        <v>62</v>
      </c>
      <c r="D262" s="50">
        <v>544</v>
      </c>
    </row>
    <row r="263" spans="1:4" ht="12.75">
      <c r="A263" s="50">
        <v>2007</v>
      </c>
      <c r="B263" s="50" t="s">
        <v>45</v>
      </c>
      <c r="C263" s="50" t="s">
        <v>62</v>
      </c>
      <c r="D263" s="50">
        <v>483</v>
      </c>
    </row>
    <row r="264" spans="1:4" ht="12.75">
      <c r="A264" s="50">
        <v>2008</v>
      </c>
      <c r="B264" s="50" t="s">
        <v>45</v>
      </c>
      <c r="C264" s="50" t="s">
        <v>62</v>
      </c>
      <c r="D264" s="50">
        <v>526</v>
      </c>
    </row>
    <row r="265" spans="1:4" ht="12.75">
      <c r="A265" s="50">
        <v>2009</v>
      </c>
      <c r="B265" s="50" t="s">
        <v>45</v>
      </c>
      <c r="C265" s="50" t="s">
        <v>62</v>
      </c>
      <c r="D265" s="50">
        <v>650</v>
      </c>
    </row>
    <row r="266" spans="1:4" ht="12.75">
      <c r="A266" s="50">
        <v>2010</v>
      </c>
      <c r="B266" s="50" t="s">
        <v>45</v>
      </c>
      <c r="C266" s="50" t="s">
        <v>62</v>
      </c>
      <c r="D266" s="50">
        <v>682</v>
      </c>
    </row>
    <row r="267" spans="1:4" ht="12.75">
      <c r="A267" s="50">
        <v>1994</v>
      </c>
      <c r="B267" s="50" t="s">
        <v>45</v>
      </c>
      <c r="C267" s="50" t="s">
        <v>63</v>
      </c>
      <c r="D267" s="50">
        <v>803</v>
      </c>
    </row>
    <row r="268" spans="1:4" ht="12.75">
      <c r="A268" s="50">
        <v>1995</v>
      </c>
      <c r="B268" s="50" t="s">
        <v>45</v>
      </c>
      <c r="C268" s="50" t="s">
        <v>63</v>
      </c>
      <c r="D268" s="50">
        <v>796</v>
      </c>
    </row>
    <row r="269" spans="1:4" ht="12.75">
      <c r="A269" s="50">
        <v>1996</v>
      </c>
      <c r="B269" s="50" t="s">
        <v>45</v>
      </c>
      <c r="C269" s="50" t="s">
        <v>63</v>
      </c>
      <c r="D269" s="50">
        <v>602</v>
      </c>
    </row>
    <row r="270" spans="1:4" ht="12.75">
      <c r="A270" s="50">
        <v>1997</v>
      </c>
      <c r="B270" s="50" t="s">
        <v>45</v>
      </c>
      <c r="C270" s="50" t="s">
        <v>63</v>
      </c>
      <c r="D270" s="50">
        <v>699</v>
      </c>
    </row>
    <row r="271" spans="1:4" ht="12.75">
      <c r="A271" s="50">
        <v>1998</v>
      </c>
      <c r="B271" s="50" t="s">
        <v>45</v>
      </c>
      <c r="C271" s="50" t="s">
        <v>63</v>
      </c>
      <c r="D271" s="50">
        <v>752</v>
      </c>
    </row>
    <row r="272" spans="1:4" ht="12.75">
      <c r="A272" s="50">
        <v>1999</v>
      </c>
      <c r="B272" s="50" t="s">
        <v>45</v>
      </c>
      <c r="C272" s="50" t="s">
        <v>63</v>
      </c>
      <c r="D272" s="50">
        <v>836</v>
      </c>
    </row>
    <row r="273" spans="1:4" ht="12.75">
      <c r="A273" s="50">
        <v>2000</v>
      </c>
      <c r="B273" s="50" t="s">
        <v>45</v>
      </c>
      <c r="C273" s="50" t="s">
        <v>63</v>
      </c>
      <c r="D273" s="50">
        <v>779</v>
      </c>
    </row>
    <row r="274" spans="1:4" ht="12.75">
      <c r="A274" s="50">
        <v>2001</v>
      </c>
      <c r="B274" s="50" t="s">
        <v>45</v>
      </c>
      <c r="C274" s="50" t="s">
        <v>63</v>
      </c>
      <c r="D274" s="50">
        <v>842</v>
      </c>
    </row>
    <row r="275" spans="1:4" ht="12.75">
      <c r="A275" s="50">
        <v>2002</v>
      </c>
      <c r="B275" s="50" t="s">
        <v>45</v>
      </c>
      <c r="C275" s="50" t="s">
        <v>63</v>
      </c>
      <c r="D275" s="50">
        <v>899</v>
      </c>
    </row>
    <row r="276" spans="1:4" ht="12.75">
      <c r="A276" s="50">
        <v>2003</v>
      </c>
      <c r="B276" s="50" t="s">
        <v>45</v>
      </c>
      <c r="C276" s="50" t="s">
        <v>63</v>
      </c>
      <c r="D276" s="50">
        <v>1151</v>
      </c>
    </row>
    <row r="277" spans="1:4" ht="12.75">
      <c r="A277" s="50">
        <v>2004</v>
      </c>
      <c r="B277" s="50" t="s">
        <v>45</v>
      </c>
      <c r="C277" s="50" t="s">
        <v>63</v>
      </c>
      <c r="D277" s="50">
        <v>1287</v>
      </c>
    </row>
    <row r="278" spans="1:4" ht="12.75">
      <c r="A278" s="50">
        <v>2005</v>
      </c>
      <c r="B278" s="50" t="s">
        <v>45</v>
      </c>
      <c r="C278" s="50" t="s">
        <v>63</v>
      </c>
      <c r="D278" s="50">
        <v>1121</v>
      </c>
    </row>
    <row r="279" spans="1:4" ht="12.75">
      <c r="A279" s="50">
        <v>2006</v>
      </c>
      <c r="B279" s="50" t="s">
        <v>45</v>
      </c>
      <c r="C279" s="50" t="s">
        <v>63</v>
      </c>
      <c r="D279" s="50">
        <v>1161</v>
      </c>
    </row>
    <row r="280" spans="1:4" ht="12.75">
      <c r="A280" s="50">
        <v>2007</v>
      </c>
      <c r="B280" s="50" t="s">
        <v>45</v>
      </c>
      <c r="C280" s="50" t="s">
        <v>63</v>
      </c>
      <c r="D280" s="50">
        <v>959</v>
      </c>
    </row>
    <row r="281" spans="1:4" ht="12.75">
      <c r="A281" s="50">
        <v>2008</v>
      </c>
      <c r="B281" s="50" t="s">
        <v>45</v>
      </c>
      <c r="C281" s="50" t="s">
        <v>63</v>
      </c>
      <c r="D281" s="50">
        <v>1256</v>
      </c>
    </row>
    <row r="282" spans="1:4" ht="12.75">
      <c r="A282" s="50">
        <v>2009</v>
      </c>
      <c r="B282" s="50" t="s">
        <v>45</v>
      </c>
      <c r="C282" s="50" t="s">
        <v>63</v>
      </c>
      <c r="D282" s="50">
        <v>1417</v>
      </c>
    </row>
    <row r="283" spans="1:4" ht="12.75">
      <c r="A283" s="50">
        <v>2010</v>
      </c>
      <c r="B283" s="50" t="s">
        <v>45</v>
      </c>
      <c r="C283" s="50" t="s">
        <v>63</v>
      </c>
      <c r="D283" s="50">
        <v>1565</v>
      </c>
    </row>
    <row r="284" spans="1:4" ht="12.75">
      <c r="A284" s="50">
        <v>2007</v>
      </c>
      <c r="B284" s="50" t="s">
        <v>45</v>
      </c>
      <c r="C284" s="50" t="s">
        <v>64</v>
      </c>
      <c r="D284" s="50">
        <v>93</v>
      </c>
    </row>
    <row r="285" spans="1:4" ht="12.75">
      <c r="A285" s="50">
        <v>2008</v>
      </c>
      <c r="B285" s="50" t="s">
        <v>45</v>
      </c>
      <c r="C285" s="50" t="s">
        <v>64</v>
      </c>
      <c r="D285" s="50">
        <v>147</v>
      </c>
    </row>
    <row r="286" spans="1:4" ht="12.75">
      <c r="A286" s="50">
        <v>2009</v>
      </c>
      <c r="B286" s="50" t="s">
        <v>45</v>
      </c>
      <c r="C286" s="50" t="s">
        <v>64</v>
      </c>
      <c r="D286" s="50">
        <v>160</v>
      </c>
    </row>
    <row r="287" spans="1:4" ht="12.75">
      <c r="A287" s="50">
        <v>2010</v>
      </c>
      <c r="B287" s="50" t="s">
        <v>45</v>
      </c>
      <c r="C287" s="50" t="s">
        <v>64</v>
      </c>
      <c r="D287" s="50">
        <v>213</v>
      </c>
    </row>
    <row r="288" spans="1:4" ht="12.75">
      <c r="A288" s="50">
        <v>1994</v>
      </c>
      <c r="B288" s="50" t="s">
        <v>45</v>
      </c>
      <c r="C288" s="50" t="s">
        <v>65</v>
      </c>
      <c r="D288" s="50">
        <v>504</v>
      </c>
    </row>
    <row r="289" spans="1:4" ht="12.75">
      <c r="A289" s="50">
        <v>1995</v>
      </c>
      <c r="B289" s="50" t="s">
        <v>45</v>
      </c>
      <c r="C289" s="50" t="s">
        <v>65</v>
      </c>
      <c r="D289" s="50">
        <v>495</v>
      </c>
    </row>
    <row r="290" spans="1:4" ht="12.75">
      <c r="A290" s="50">
        <v>1996</v>
      </c>
      <c r="B290" s="50" t="s">
        <v>45</v>
      </c>
      <c r="C290" s="50" t="s">
        <v>65</v>
      </c>
      <c r="D290" s="50">
        <v>274</v>
      </c>
    </row>
    <row r="291" spans="1:4" ht="12.75">
      <c r="A291" s="50">
        <v>1997</v>
      </c>
      <c r="B291" s="50" t="s">
        <v>45</v>
      </c>
      <c r="C291" s="50" t="s">
        <v>65</v>
      </c>
      <c r="D291" s="50">
        <v>355</v>
      </c>
    </row>
    <row r="292" spans="1:4" ht="12.75">
      <c r="A292" s="50">
        <v>1998</v>
      </c>
      <c r="B292" s="50" t="s">
        <v>45</v>
      </c>
      <c r="C292" s="50" t="s">
        <v>65</v>
      </c>
      <c r="D292" s="50">
        <v>367</v>
      </c>
    </row>
    <row r="293" spans="1:4" ht="12.75">
      <c r="A293" s="50">
        <v>1999</v>
      </c>
      <c r="B293" s="50" t="s">
        <v>45</v>
      </c>
      <c r="C293" s="50" t="s">
        <v>65</v>
      </c>
      <c r="D293" s="50">
        <v>421</v>
      </c>
    </row>
    <row r="294" spans="1:4" ht="12.75">
      <c r="A294" s="50">
        <v>2000</v>
      </c>
      <c r="B294" s="50" t="s">
        <v>45</v>
      </c>
      <c r="C294" s="50" t="s">
        <v>65</v>
      </c>
      <c r="D294" s="50">
        <v>604</v>
      </c>
    </row>
    <row r="295" spans="1:4" ht="12.75">
      <c r="A295" s="50">
        <v>2001</v>
      </c>
      <c r="B295" s="50" t="s">
        <v>45</v>
      </c>
      <c r="C295" s="50" t="s">
        <v>65</v>
      </c>
      <c r="D295" s="50">
        <v>629</v>
      </c>
    </row>
    <row r="296" spans="1:4" ht="12.75">
      <c r="A296" s="50">
        <v>2002</v>
      </c>
      <c r="B296" s="50" t="s">
        <v>45</v>
      </c>
      <c r="C296" s="50" t="s">
        <v>65</v>
      </c>
      <c r="D296" s="50">
        <v>602</v>
      </c>
    </row>
    <row r="297" spans="1:4" ht="12.75">
      <c r="A297" s="50">
        <v>2003</v>
      </c>
      <c r="B297" s="50" t="s">
        <v>45</v>
      </c>
      <c r="C297" s="50" t="s">
        <v>65</v>
      </c>
      <c r="D297" s="50">
        <v>662</v>
      </c>
    </row>
    <row r="298" spans="1:4" ht="12.75">
      <c r="A298" s="50">
        <v>2004</v>
      </c>
      <c r="B298" s="50" t="s">
        <v>45</v>
      </c>
      <c r="C298" s="50" t="s">
        <v>65</v>
      </c>
      <c r="D298" s="50">
        <v>580</v>
      </c>
    </row>
    <row r="299" spans="1:4" ht="12.75">
      <c r="A299" s="50">
        <v>2005</v>
      </c>
      <c r="B299" s="50" t="s">
        <v>45</v>
      </c>
      <c r="C299" s="50" t="s">
        <v>65</v>
      </c>
      <c r="D299" s="50">
        <v>574</v>
      </c>
    </row>
    <row r="300" spans="1:4" ht="12.75">
      <c r="A300" s="50">
        <v>2006</v>
      </c>
      <c r="B300" s="50" t="s">
        <v>45</v>
      </c>
      <c r="C300" s="50" t="s">
        <v>65</v>
      </c>
      <c r="D300" s="50">
        <v>624</v>
      </c>
    </row>
    <row r="301" spans="1:4" ht="12.75">
      <c r="A301" s="50">
        <v>2007</v>
      </c>
      <c r="B301" s="50" t="s">
        <v>45</v>
      </c>
      <c r="C301" s="50" t="s">
        <v>65</v>
      </c>
      <c r="D301" s="50">
        <v>677</v>
      </c>
    </row>
    <row r="302" spans="1:4" ht="12.75">
      <c r="A302" s="50">
        <v>2008</v>
      </c>
      <c r="B302" s="50" t="s">
        <v>45</v>
      </c>
      <c r="C302" s="50" t="s">
        <v>65</v>
      </c>
      <c r="D302" s="50">
        <v>618</v>
      </c>
    </row>
    <row r="303" spans="1:4" ht="12.75">
      <c r="A303" s="50">
        <v>2009</v>
      </c>
      <c r="B303" s="50" t="s">
        <v>45</v>
      </c>
      <c r="C303" s="50" t="s">
        <v>65</v>
      </c>
      <c r="D303" s="50">
        <v>902</v>
      </c>
    </row>
    <row r="304" spans="1:4" ht="12.75">
      <c r="A304" s="50">
        <v>2010</v>
      </c>
      <c r="B304" s="50" t="s">
        <v>45</v>
      </c>
      <c r="C304" s="50" t="s">
        <v>65</v>
      </c>
      <c r="D304" s="50">
        <v>901</v>
      </c>
    </row>
    <row r="305" spans="1:4" ht="12.75">
      <c r="A305" s="50">
        <v>1994</v>
      </c>
      <c r="B305" s="50" t="s">
        <v>45</v>
      </c>
      <c r="C305" s="50" t="s">
        <v>66</v>
      </c>
      <c r="D305" s="50">
        <v>508</v>
      </c>
    </row>
    <row r="306" spans="1:4" ht="12.75">
      <c r="A306" s="50">
        <v>1995</v>
      </c>
      <c r="B306" s="50" t="s">
        <v>45</v>
      </c>
      <c r="C306" s="50" t="s">
        <v>66</v>
      </c>
      <c r="D306" s="50">
        <v>352</v>
      </c>
    </row>
    <row r="307" spans="1:4" ht="12.75">
      <c r="A307" s="50">
        <v>1996</v>
      </c>
      <c r="B307" s="50" t="s">
        <v>45</v>
      </c>
      <c r="C307" s="50" t="s">
        <v>66</v>
      </c>
      <c r="D307" s="50">
        <v>287</v>
      </c>
    </row>
    <row r="308" spans="1:4" ht="12.75">
      <c r="A308" s="50">
        <v>1997</v>
      </c>
      <c r="B308" s="50" t="s">
        <v>45</v>
      </c>
      <c r="C308" s="50" t="s">
        <v>66</v>
      </c>
      <c r="D308" s="50">
        <v>310</v>
      </c>
    </row>
    <row r="309" spans="1:4" ht="12.75">
      <c r="A309" s="50">
        <v>1998</v>
      </c>
      <c r="B309" s="50" t="s">
        <v>45</v>
      </c>
      <c r="C309" s="50" t="s">
        <v>66</v>
      </c>
      <c r="D309" s="50">
        <v>378</v>
      </c>
    </row>
    <row r="310" spans="1:4" ht="12.75">
      <c r="A310" s="50">
        <v>1999</v>
      </c>
      <c r="B310" s="50" t="s">
        <v>45</v>
      </c>
      <c r="C310" s="50" t="s">
        <v>66</v>
      </c>
      <c r="D310" s="50">
        <v>329</v>
      </c>
    </row>
    <row r="311" spans="1:4" ht="12.75">
      <c r="A311" s="50">
        <v>2000</v>
      </c>
      <c r="B311" s="50" t="s">
        <v>45</v>
      </c>
      <c r="C311" s="50" t="s">
        <v>66</v>
      </c>
      <c r="D311" s="50">
        <v>347</v>
      </c>
    </row>
    <row r="312" spans="1:4" ht="12.75">
      <c r="A312" s="50">
        <v>2001</v>
      </c>
      <c r="B312" s="50" t="s">
        <v>45</v>
      </c>
      <c r="C312" s="50" t="s">
        <v>66</v>
      </c>
      <c r="D312" s="50">
        <v>430</v>
      </c>
    </row>
    <row r="313" spans="1:4" ht="12.75">
      <c r="A313" s="50">
        <v>2002</v>
      </c>
      <c r="B313" s="50" t="s">
        <v>45</v>
      </c>
      <c r="C313" s="50" t="s">
        <v>66</v>
      </c>
      <c r="D313" s="50">
        <v>347</v>
      </c>
    </row>
    <row r="314" spans="1:4" ht="12.75">
      <c r="A314" s="50">
        <v>2003</v>
      </c>
      <c r="B314" s="50" t="s">
        <v>45</v>
      </c>
      <c r="C314" s="50" t="s">
        <v>66</v>
      </c>
      <c r="D314" s="50">
        <v>539</v>
      </c>
    </row>
    <row r="315" spans="1:4" ht="12.75">
      <c r="A315" s="50">
        <v>2004</v>
      </c>
      <c r="B315" s="50" t="s">
        <v>45</v>
      </c>
      <c r="C315" s="50" t="s">
        <v>66</v>
      </c>
      <c r="D315" s="50">
        <v>588</v>
      </c>
    </row>
    <row r="316" spans="1:4" ht="12.75">
      <c r="A316" s="50">
        <v>2005</v>
      </c>
      <c r="B316" s="50" t="s">
        <v>45</v>
      </c>
      <c r="C316" s="50" t="s">
        <v>66</v>
      </c>
      <c r="D316" s="50">
        <v>515</v>
      </c>
    </row>
    <row r="317" spans="1:4" ht="12.75">
      <c r="A317" s="50">
        <v>2006</v>
      </c>
      <c r="B317" s="50" t="s">
        <v>45</v>
      </c>
      <c r="C317" s="50" t="s">
        <v>66</v>
      </c>
      <c r="D317" s="50">
        <v>523</v>
      </c>
    </row>
    <row r="318" spans="1:4" ht="12.75">
      <c r="A318" s="50">
        <v>2007</v>
      </c>
      <c r="B318" s="50" t="s">
        <v>45</v>
      </c>
      <c r="C318" s="50" t="s">
        <v>66</v>
      </c>
      <c r="D318" s="50">
        <v>606</v>
      </c>
    </row>
    <row r="319" spans="1:4" ht="12.75">
      <c r="A319" s="50">
        <v>2008</v>
      </c>
      <c r="B319" s="50" t="s">
        <v>45</v>
      </c>
      <c r="C319" s="50" t="s">
        <v>66</v>
      </c>
      <c r="D319" s="50">
        <v>232</v>
      </c>
    </row>
    <row r="320" spans="1:4" ht="12.75">
      <c r="A320" s="50">
        <v>2009</v>
      </c>
      <c r="B320" s="50" t="s">
        <v>45</v>
      </c>
      <c r="C320" s="50" t="s">
        <v>66</v>
      </c>
      <c r="D320" s="50">
        <v>739</v>
      </c>
    </row>
    <row r="321" spans="1:4" ht="12.75">
      <c r="A321" s="50">
        <v>2010</v>
      </c>
      <c r="B321" s="50" t="s">
        <v>45</v>
      </c>
      <c r="C321" s="50" t="s">
        <v>66</v>
      </c>
      <c r="D321" s="50">
        <v>695</v>
      </c>
    </row>
    <row r="322" spans="1:4" ht="12.75">
      <c r="A322" s="50">
        <v>1994</v>
      </c>
      <c r="B322" s="50" t="s">
        <v>67</v>
      </c>
      <c r="C322" s="50" t="s">
        <v>68</v>
      </c>
      <c r="D322" s="50">
        <v>155</v>
      </c>
    </row>
    <row r="323" spans="1:4" ht="12.75">
      <c r="A323" s="50">
        <v>1995</v>
      </c>
      <c r="B323" s="50" t="s">
        <v>67</v>
      </c>
      <c r="C323" s="50" t="s">
        <v>68</v>
      </c>
      <c r="D323" s="50">
        <v>177</v>
      </c>
    </row>
    <row r="324" spans="1:4" ht="12.75">
      <c r="A324" s="50">
        <v>1996</v>
      </c>
      <c r="B324" s="50" t="s">
        <v>67</v>
      </c>
      <c r="C324" s="50" t="s">
        <v>68</v>
      </c>
      <c r="D324" s="50">
        <v>83</v>
      </c>
    </row>
    <row r="325" spans="1:4" ht="12.75">
      <c r="A325" s="50">
        <v>1997</v>
      </c>
      <c r="B325" s="50" t="s">
        <v>67</v>
      </c>
      <c r="C325" s="50" t="s">
        <v>68</v>
      </c>
      <c r="D325" s="50">
        <v>107</v>
      </c>
    </row>
    <row r="326" spans="1:4" ht="12.75">
      <c r="A326" s="50">
        <v>1998</v>
      </c>
      <c r="B326" s="50" t="s">
        <v>67</v>
      </c>
      <c r="C326" s="50" t="s">
        <v>68</v>
      </c>
      <c r="D326" s="50">
        <v>99</v>
      </c>
    </row>
    <row r="327" spans="1:4" ht="12.75">
      <c r="A327" s="50">
        <v>1999</v>
      </c>
      <c r="B327" s="50" t="s">
        <v>67</v>
      </c>
      <c r="C327" s="50" t="s">
        <v>68</v>
      </c>
      <c r="D327" s="50">
        <v>95</v>
      </c>
    </row>
    <row r="328" spans="1:4" ht="12.75">
      <c r="A328" s="50">
        <v>2000</v>
      </c>
      <c r="B328" s="50" t="s">
        <v>67</v>
      </c>
      <c r="C328" s="50" t="s">
        <v>68</v>
      </c>
      <c r="D328" s="50">
        <v>183</v>
      </c>
    </row>
    <row r="329" spans="1:4" ht="12.75">
      <c r="A329" s="50">
        <v>2001</v>
      </c>
      <c r="B329" s="50" t="s">
        <v>67</v>
      </c>
      <c r="C329" s="50" t="s">
        <v>68</v>
      </c>
      <c r="D329" s="50">
        <v>81</v>
      </c>
    </row>
    <row r="330" spans="1:4" ht="12.75">
      <c r="A330" s="50">
        <v>2002</v>
      </c>
      <c r="B330" s="50" t="s">
        <v>67</v>
      </c>
      <c r="C330" s="50" t="s">
        <v>68</v>
      </c>
      <c r="D330" s="50">
        <v>26</v>
      </c>
    </row>
    <row r="331" spans="1:4" ht="12.75">
      <c r="A331" s="50">
        <v>2003</v>
      </c>
      <c r="B331" s="50" t="s">
        <v>67</v>
      </c>
      <c r="C331" s="50" t="s">
        <v>68</v>
      </c>
      <c r="D331" s="50">
        <v>53</v>
      </c>
    </row>
    <row r="332" spans="1:4" ht="12.75">
      <c r="A332" s="50">
        <v>2004</v>
      </c>
      <c r="B332" s="50" t="s">
        <v>67</v>
      </c>
      <c r="C332" s="50" t="s">
        <v>68</v>
      </c>
      <c r="D332" s="50">
        <v>181</v>
      </c>
    </row>
    <row r="333" spans="1:4" ht="12.75">
      <c r="A333" s="50">
        <v>2005</v>
      </c>
      <c r="B333" s="50" t="s">
        <v>67</v>
      </c>
      <c r="C333" s="50" t="s">
        <v>68</v>
      </c>
      <c r="D333" s="50">
        <v>224</v>
      </c>
    </row>
    <row r="334" spans="1:4" ht="12.75">
      <c r="A334" s="50">
        <v>2006</v>
      </c>
      <c r="B334" s="50" t="s">
        <v>67</v>
      </c>
      <c r="C334" s="50" t="s">
        <v>68</v>
      </c>
      <c r="D334" s="50">
        <v>346</v>
      </c>
    </row>
    <row r="335" spans="1:4" ht="12.75">
      <c r="A335" s="50">
        <v>2007</v>
      </c>
      <c r="B335" s="50" t="s">
        <v>67</v>
      </c>
      <c r="C335" s="50" t="s">
        <v>68</v>
      </c>
      <c r="D335" s="50">
        <v>377</v>
      </c>
    </row>
    <row r="336" spans="1:4" ht="12.75">
      <c r="A336" s="50">
        <v>2008</v>
      </c>
      <c r="B336" s="50" t="s">
        <v>67</v>
      </c>
      <c r="C336" s="50" t="s">
        <v>68</v>
      </c>
      <c r="D336" s="50">
        <v>410</v>
      </c>
    </row>
    <row r="337" spans="1:4" ht="12.75">
      <c r="A337" s="50">
        <v>2009</v>
      </c>
      <c r="B337" s="50" t="s">
        <v>67</v>
      </c>
      <c r="C337" s="50" t="s">
        <v>68</v>
      </c>
      <c r="D337" s="50">
        <v>390</v>
      </c>
    </row>
    <row r="338" spans="1:4" ht="12.75">
      <c r="A338" s="50">
        <v>2010</v>
      </c>
      <c r="B338" s="50" t="s">
        <v>67</v>
      </c>
      <c r="C338" s="50" t="s">
        <v>68</v>
      </c>
      <c r="D338" s="50">
        <v>271</v>
      </c>
    </row>
    <row r="339" spans="1:4" ht="12.75">
      <c r="A339" s="50">
        <v>1994</v>
      </c>
      <c r="B339" s="50" t="s">
        <v>67</v>
      </c>
      <c r="C339" s="50" t="s">
        <v>69</v>
      </c>
      <c r="D339" s="50">
        <v>459</v>
      </c>
    </row>
    <row r="340" spans="1:4" ht="12.75">
      <c r="A340" s="50">
        <v>1995</v>
      </c>
      <c r="B340" s="50" t="s">
        <v>67</v>
      </c>
      <c r="C340" s="50" t="s">
        <v>69</v>
      </c>
      <c r="D340" s="50">
        <v>498</v>
      </c>
    </row>
    <row r="341" spans="1:4" ht="12.75">
      <c r="A341" s="50">
        <v>1996</v>
      </c>
      <c r="B341" s="50" t="s">
        <v>67</v>
      </c>
      <c r="C341" s="50" t="s">
        <v>69</v>
      </c>
      <c r="D341" s="50">
        <v>412</v>
      </c>
    </row>
    <row r="342" spans="1:4" ht="12.75">
      <c r="A342" s="50">
        <v>1997</v>
      </c>
      <c r="B342" s="50" t="s">
        <v>67</v>
      </c>
      <c r="C342" s="50" t="s">
        <v>69</v>
      </c>
      <c r="D342" s="50">
        <v>345</v>
      </c>
    </row>
    <row r="343" spans="1:4" ht="12.75">
      <c r="A343" s="50">
        <v>1998</v>
      </c>
      <c r="B343" s="50" t="s">
        <v>67</v>
      </c>
      <c r="C343" s="50" t="s">
        <v>69</v>
      </c>
      <c r="D343" s="50">
        <v>436</v>
      </c>
    </row>
    <row r="344" spans="1:4" ht="12.75">
      <c r="A344" s="50">
        <v>1999</v>
      </c>
      <c r="B344" s="50" t="s">
        <v>67</v>
      </c>
      <c r="C344" s="50" t="s">
        <v>69</v>
      </c>
      <c r="D344" s="50">
        <v>560</v>
      </c>
    </row>
    <row r="345" spans="1:4" ht="12.75">
      <c r="A345" s="50">
        <v>2000</v>
      </c>
      <c r="B345" s="50" t="s">
        <v>67</v>
      </c>
      <c r="C345" s="50" t="s">
        <v>69</v>
      </c>
      <c r="D345" s="50">
        <v>521</v>
      </c>
    </row>
    <row r="346" spans="1:4" ht="12.75">
      <c r="A346" s="50">
        <v>2001</v>
      </c>
      <c r="B346" s="50" t="s">
        <v>67</v>
      </c>
      <c r="C346" s="50" t="s">
        <v>69</v>
      </c>
      <c r="D346" s="50">
        <v>469</v>
      </c>
    </row>
    <row r="347" spans="1:4" ht="12.75">
      <c r="A347" s="50">
        <v>2002</v>
      </c>
      <c r="B347" s="50" t="s">
        <v>67</v>
      </c>
      <c r="C347" s="50" t="s">
        <v>69</v>
      </c>
      <c r="D347" s="50">
        <v>427</v>
      </c>
    </row>
    <row r="348" spans="1:4" ht="12.75">
      <c r="A348" s="50">
        <v>2003</v>
      </c>
      <c r="B348" s="50" t="s">
        <v>67</v>
      </c>
      <c r="C348" s="50" t="s">
        <v>69</v>
      </c>
      <c r="D348" s="50">
        <v>481</v>
      </c>
    </row>
    <row r="349" spans="1:4" ht="12.75">
      <c r="A349" s="50">
        <v>2004</v>
      </c>
      <c r="B349" s="50" t="s">
        <v>67</v>
      </c>
      <c r="C349" s="50" t="s">
        <v>69</v>
      </c>
      <c r="D349" s="50">
        <v>601</v>
      </c>
    </row>
    <row r="350" spans="1:4" ht="12.75">
      <c r="A350" s="50">
        <v>2005</v>
      </c>
      <c r="B350" s="50" t="s">
        <v>67</v>
      </c>
      <c r="C350" s="50" t="s">
        <v>69</v>
      </c>
      <c r="D350" s="50">
        <v>601</v>
      </c>
    </row>
    <row r="351" spans="1:4" ht="12.75">
      <c r="A351" s="50">
        <v>2006</v>
      </c>
      <c r="B351" s="50" t="s">
        <v>67</v>
      </c>
      <c r="C351" s="50" t="s">
        <v>69</v>
      </c>
      <c r="D351" s="50">
        <v>552</v>
      </c>
    </row>
    <row r="352" spans="1:4" ht="12.75">
      <c r="A352" s="50">
        <v>2007</v>
      </c>
      <c r="B352" s="50" t="s">
        <v>67</v>
      </c>
      <c r="C352" s="50" t="s">
        <v>69</v>
      </c>
      <c r="D352" s="50">
        <v>578</v>
      </c>
    </row>
    <row r="353" spans="1:4" ht="12.75">
      <c r="A353" s="50">
        <v>2008</v>
      </c>
      <c r="B353" s="50" t="s">
        <v>67</v>
      </c>
      <c r="C353" s="50" t="s">
        <v>69</v>
      </c>
      <c r="D353" s="50">
        <v>546</v>
      </c>
    </row>
    <row r="354" spans="1:4" ht="12.75">
      <c r="A354" s="50">
        <v>2009</v>
      </c>
      <c r="B354" s="50" t="s">
        <v>67</v>
      </c>
      <c r="C354" s="50" t="s">
        <v>69</v>
      </c>
      <c r="D354" s="50">
        <v>704</v>
      </c>
    </row>
    <row r="355" spans="1:4" ht="12.75">
      <c r="A355" s="50">
        <v>2010</v>
      </c>
      <c r="B355" s="50" t="s">
        <v>67</v>
      </c>
      <c r="C355" s="50" t="s">
        <v>69</v>
      </c>
      <c r="D355" s="50">
        <v>561</v>
      </c>
    </row>
    <row r="356" spans="1:4" ht="12.75">
      <c r="A356" s="50">
        <v>1994</v>
      </c>
      <c r="B356" s="50" t="s">
        <v>67</v>
      </c>
      <c r="C356" s="50" t="s">
        <v>70</v>
      </c>
      <c r="D356" s="50">
        <v>710</v>
      </c>
    </row>
    <row r="357" spans="1:4" ht="12.75">
      <c r="A357" s="50">
        <v>1995</v>
      </c>
      <c r="B357" s="50" t="s">
        <v>67</v>
      </c>
      <c r="C357" s="50" t="s">
        <v>70</v>
      </c>
      <c r="D357" s="50">
        <v>796</v>
      </c>
    </row>
    <row r="358" spans="1:4" ht="12.75">
      <c r="A358" s="50">
        <v>1996</v>
      </c>
      <c r="B358" s="50" t="s">
        <v>67</v>
      </c>
      <c r="C358" s="50" t="s">
        <v>70</v>
      </c>
      <c r="D358" s="50">
        <v>681</v>
      </c>
    </row>
    <row r="359" spans="1:4" ht="12.75">
      <c r="A359" s="50">
        <v>1997</v>
      </c>
      <c r="B359" s="50" t="s">
        <v>67</v>
      </c>
      <c r="C359" s="50" t="s">
        <v>70</v>
      </c>
      <c r="D359" s="50">
        <v>671</v>
      </c>
    </row>
    <row r="360" spans="1:4" ht="12.75">
      <c r="A360" s="50">
        <v>1998</v>
      </c>
      <c r="B360" s="50" t="s">
        <v>67</v>
      </c>
      <c r="C360" s="50" t="s">
        <v>70</v>
      </c>
      <c r="D360" s="50">
        <v>856</v>
      </c>
    </row>
    <row r="361" spans="1:4" ht="12.75">
      <c r="A361" s="50">
        <v>1999</v>
      </c>
      <c r="B361" s="50" t="s">
        <v>67</v>
      </c>
      <c r="C361" s="50" t="s">
        <v>70</v>
      </c>
      <c r="D361" s="50">
        <v>811</v>
      </c>
    </row>
    <row r="362" spans="1:4" ht="12.75">
      <c r="A362" s="50">
        <v>2000</v>
      </c>
      <c r="B362" s="50" t="s">
        <v>67</v>
      </c>
      <c r="C362" s="50" t="s">
        <v>70</v>
      </c>
      <c r="D362" s="50">
        <v>768</v>
      </c>
    </row>
    <row r="363" spans="1:4" ht="12.75">
      <c r="A363" s="50">
        <v>2001</v>
      </c>
      <c r="B363" s="50" t="s">
        <v>67</v>
      </c>
      <c r="C363" s="50" t="s">
        <v>70</v>
      </c>
      <c r="D363" s="50">
        <v>786</v>
      </c>
    </row>
    <row r="364" spans="1:4" ht="12.75">
      <c r="A364" s="50">
        <v>2002</v>
      </c>
      <c r="B364" s="50" t="s">
        <v>67</v>
      </c>
      <c r="C364" s="50" t="s">
        <v>70</v>
      </c>
      <c r="D364" s="50">
        <v>615</v>
      </c>
    </row>
    <row r="365" spans="1:4" ht="12.75">
      <c r="A365" s="50">
        <v>2003</v>
      </c>
      <c r="B365" s="50" t="s">
        <v>67</v>
      </c>
      <c r="C365" s="50" t="s">
        <v>70</v>
      </c>
      <c r="D365" s="50">
        <v>568</v>
      </c>
    </row>
    <row r="366" spans="1:4" ht="12.75">
      <c r="A366" s="50">
        <v>2004</v>
      </c>
      <c r="B366" s="50" t="s">
        <v>67</v>
      </c>
      <c r="C366" s="50" t="s">
        <v>70</v>
      </c>
      <c r="D366" s="50">
        <v>695</v>
      </c>
    </row>
    <row r="367" spans="1:4" ht="12.75">
      <c r="A367" s="50">
        <v>2005</v>
      </c>
      <c r="B367" s="50" t="s">
        <v>67</v>
      </c>
      <c r="C367" s="50" t="s">
        <v>70</v>
      </c>
      <c r="D367" s="50">
        <v>786</v>
      </c>
    </row>
    <row r="368" spans="1:4" ht="12.75">
      <c r="A368" s="50">
        <v>2006</v>
      </c>
      <c r="B368" s="50" t="s">
        <v>67</v>
      </c>
      <c r="C368" s="50" t="s">
        <v>70</v>
      </c>
      <c r="D368" s="50">
        <v>803</v>
      </c>
    </row>
    <row r="369" spans="1:4" ht="12.75">
      <c r="A369" s="50">
        <v>2007</v>
      </c>
      <c r="B369" s="50" t="s">
        <v>67</v>
      </c>
      <c r="C369" s="50" t="s">
        <v>70</v>
      </c>
      <c r="D369" s="50">
        <v>769</v>
      </c>
    </row>
    <row r="370" spans="1:4" ht="12.75">
      <c r="A370" s="50">
        <v>2008</v>
      </c>
      <c r="B370" s="50" t="s">
        <v>67</v>
      </c>
      <c r="C370" s="50" t="s">
        <v>70</v>
      </c>
      <c r="D370" s="50">
        <v>727</v>
      </c>
    </row>
    <row r="371" spans="1:4" ht="12.75">
      <c r="A371" s="50">
        <v>2009</v>
      </c>
      <c r="B371" s="50" t="s">
        <v>67</v>
      </c>
      <c r="C371" s="50" t="s">
        <v>70</v>
      </c>
      <c r="D371" s="50">
        <v>814</v>
      </c>
    </row>
    <row r="372" spans="1:4" ht="12.75">
      <c r="A372" s="50">
        <v>2010</v>
      </c>
      <c r="B372" s="50" t="s">
        <v>67</v>
      </c>
      <c r="C372" s="50" t="s">
        <v>70</v>
      </c>
      <c r="D372" s="50">
        <v>849</v>
      </c>
    </row>
    <row r="373" spans="1:4" ht="12.75">
      <c r="A373" s="50">
        <v>1994</v>
      </c>
      <c r="B373" s="50" t="s">
        <v>67</v>
      </c>
      <c r="C373" s="50" t="s">
        <v>71</v>
      </c>
      <c r="D373" s="50">
        <v>2876</v>
      </c>
    </row>
    <row r="374" spans="1:4" ht="12.75">
      <c r="A374" s="50">
        <v>1995</v>
      </c>
      <c r="B374" s="50" t="s">
        <v>67</v>
      </c>
      <c r="C374" s="50" t="s">
        <v>71</v>
      </c>
      <c r="D374" s="50">
        <v>2575</v>
      </c>
    </row>
    <row r="375" spans="1:4" ht="12.75">
      <c r="A375" s="50">
        <v>1996</v>
      </c>
      <c r="B375" s="50" t="s">
        <v>67</v>
      </c>
      <c r="C375" s="50" t="s">
        <v>71</v>
      </c>
      <c r="D375" s="50">
        <v>2453</v>
      </c>
    </row>
    <row r="376" spans="1:4" ht="12.75">
      <c r="A376" s="50">
        <v>1997</v>
      </c>
      <c r="B376" s="50" t="s">
        <v>67</v>
      </c>
      <c r="C376" s="50" t="s">
        <v>71</v>
      </c>
      <c r="D376" s="50">
        <v>2738</v>
      </c>
    </row>
    <row r="377" spans="1:4" ht="12.75">
      <c r="A377" s="50">
        <v>1998</v>
      </c>
      <c r="B377" s="50" t="s">
        <v>67</v>
      </c>
      <c r="C377" s="50" t="s">
        <v>71</v>
      </c>
      <c r="D377" s="50">
        <v>2603</v>
      </c>
    </row>
    <row r="378" spans="1:4" ht="12.75">
      <c r="A378" s="50">
        <v>1999</v>
      </c>
      <c r="B378" s="50" t="s">
        <v>67</v>
      </c>
      <c r="C378" s="50" t="s">
        <v>71</v>
      </c>
      <c r="D378" s="50">
        <v>2455</v>
      </c>
    </row>
    <row r="379" spans="1:4" ht="12.75">
      <c r="A379" s="50">
        <v>2000</v>
      </c>
      <c r="B379" s="50" t="s">
        <v>67</v>
      </c>
      <c r="C379" s="50" t="s">
        <v>71</v>
      </c>
      <c r="D379" s="50">
        <v>2367</v>
      </c>
    </row>
    <row r="380" spans="1:4" ht="12.75">
      <c r="A380" s="50">
        <v>2001</v>
      </c>
      <c r="B380" s="50" t="s">
        <v>67</v>
      </c>
      <c r="C380" s="50" t="s">
        <v>71</v>
      </c>
      <c r="D380" s="50">
        <v>2371</v>
      </c>
    </row>
    <row r="381" spans="1:4" ht="12.75">
      <c r="A381" s="50">
        <v>2002</v>
      </c>
      <c r="B381" s="50" t="s">
        <v>67</v>
      </c>
      <c r="C381" s="50" t="s">
        <v>71</v>
      </c>
      <c r="D381" s="50">
        <v>2576</v>
      </c>
    </row>
    <row r="382" spans="1:4" ht="12.75">
      <c r="A382" s="50">
        <v>2003</v>
      </c>
      <c r="B382" s="50" t="s">
        <v>67</v>
      </c>
      <c r="C382" s="50" t="s">
        <v>71</v>
      </c>
      <c r="D382" s="50">
        <v>2675</v>
      </c>
    </row>
    <row r="383" spans="1:4" ht="12.75">
      <c r="A383" s="50">
        <v>2004</v>
      </c>
      <c r="B383" s="50" t="s">
        <v>67</v>
      </c>
      <c r="C383" s="50" t="s">
        <v>71</v>
      </c>
      <c r="D383" s="50">
        <v>2697</v>
      </c>
    </row>
    <row r="384" spans="1:4" ht="12.75">
      <c r="A384" s="50">
        <v>2005</v>
      </c>
      <c r="B384" s="50" t="s">
        <v>67</v>
      </c>
      <c r="C384" s="50" t="s">
        <v>71</v>
      </c>
      <c r="D384" s="50">
        <v>2630</v>
      </c>
    </row>
    <row r="385" spans="1:4" ht="12.75">
      <c r="A385" s="50">
        <v>2006</v>
      </c>
      <c r="B385" s="50" t="s">
        <v>67</v>
      </c>
      <c r="C385" s="50" t="s">
        <v>71</v>
      </c>
      <c r="D385" s="50">
        <v>2803</v>
      </c>
    </row>
    <row r="386" spans="1:4" ht="12.75">
      <c r="A386" s="50">
        <v>2007</v>
      </c>
      <c r="B386" s="50" t="s">
        <v>67</v>
      </c>
      <c r="C386" s="50" t="s">
        <v>71</v>
      </c>
      <c r="D386" s="50">
        <v>2682</v>
      </c>
    </row>
    <row r="387" spans="1:4" ht="12.75">
      <c r="A387" s="50">
        <v>2008</v>
      </c>
      <c r="B387" s="50" t="s">
        <v>67</v>
      </c>
      <c r="C387" s="50" t="s">
        <v>71</v>
      </c>
      <c r="D387" s="50">
        <v>2585</v>
      </c>
    </row>
    <row r="388" spans="1:4" ht="12.75">
      <c r="A388" s="50">
        <v>2009</v>
      </c>
      <c r="B388" s="50" t="s">
        <v>67</v>
      </c>
      <c r="C388" s="50" t="s">
        <v>71</v>
      </c>
      <c r="D388" s="50">
        <v>2629</v>
      </c>
    </row>
    <row r="389" spans="1:4" ht="12.75">
      <c r="A389" s="50">
        <v>2010</v>
      </c>
      <c r="B389" s="50" t="s">
        <v>67</v>
      </c>
      <c r="C389" s="50" t="s">
        <v>71</v>
      </c>
      <c r="D389" s="50">
        <v>2647</v>
      </c>
    </row>
    <row r="390" spans="1:4" ht="12.75">
      <c r="A390" s="50">
        <v>1994</v>
      </c>
      <c r="B390" s="50" t="s">
        <v>67</v>
      </c>
      <c r="C390" s="50" t="s">
        <v>72</v>
      </c>
      <c r="D390" s="50">
        <v>805</v>
      </c>
    </row>
    <row r="391" spans="1:4" ht="12.75">
      <c r="A391" s="50">
        <v>1995</v>
      </c>
      <c r="B391" s="50" t="s">
        <v>67</v>
      </c>
      <c r="C391" s="50" t="s">
        <v>72</v>
      </c>
      <c r="D391" s="50">
        <v>819</v>
      </c>
    </row>
    <row r="392" spans="1:4" ht="12.75">
      <c r="A392" s="50">
        <v>1996</v>
      </c>
      <c r="B392" s="50" t="s">
        <v>67</v>
      </c>
      <c r="C392" s="50" t="s">
        <v>72</v>
      </c>
      <c r="D392" s="50">
        <v>778</v>
      </c>
    </row>
    <row r="393" spans="1:4" ht="12.75">
      <c r="A393" s="50">
        <v>1997</v>
      </c>
      <c r="B393" s="50" t="s">
        <v>67</v>
      </c>
      <c r="C393" s="50" t="s">
        <v>72</v>
      </c>
      <c r="D393" s="50">
        <v>693</v>
      </c>
    </row>
    <row r="394" spans="1:4" ht="12.75">
      <c r="A394" s="50">
        <v>1998</v>
      </c>
      <c r="B394" s="50" t="s">
        <v>67</v>
      </c>
      <c r="C394" s="50" t="s">
        <v>72</v>
      </c>
      <c r="D394" s="50">
        <v>721</v>
      </c>
    </row>
    <row r="395" spans="1:4" ht="12.75">
      <c r="A395" s="50">
        <v>1999</v>
      </c>
      <c r="B395" s="50" t="s">
        <v>67</v>
      </c>
      <c r="C395" s="50" t="s">
        <v>72</v>
      </c>
      <c r="D395" s="50">
        <v>680</v>
      </c>
    </row>
    <row r="396" spans="1:4" ht="12.75">
      <c r="A396" s="50">
        <v>2000</v>
      </c>
      <c r="B396" s="50" t="s">
        <v>67</v>
      </c>
      <c r="C396" s="50" t="s">
        <v>72</v>
      </c>
      <c r="D396" s="50">
        <v>674</v>
      </c>
    </row>
    <row r="397" spans="1:4" ht="12.75">
      <c r="A397" s="50">
        <v>2001</v>
      </c>
      <c r="B397" s="50" t="s">
        <v>67</v>
      </c>
      <c r="C397" s="50" t="s">
        <v>72</v>
      </c>
      <c r="D397" s="50">
        <v>693</v>
      </c>
    </row>
    <row r="398" spans="1:4" ht="12.75">
      <c r="A398" s="50">
        <v>2002</v>
      </c>
      <c r="B398" s="50" t="s">
        <v>67</v>
      </c>
      <c r="C398" s="50" t="s">
        <v>72</v>
      </c>
      <c r="D398" s="50">
        <v>788</v>
      </c>
    </row>
    <row r="399" spans="1:4" ht="12.75">
      <c r="A399" s="50">
        <v>2003</v>
      </c>
      <c r="B399" s="50" t="s">
        <v>67</v>
      </c>
      <c r="C399" s="50" t="s">
        <v>72</v>
      </c>
      <c r="D399" s="50">
        <v>871</v>
      </c>
    </row>
    <row r="400" spans="1:4" ht="12.75">
      <c r="A400" s="50">
        <v>2004</v>
      </c>
      <c r="B400" s="50" t="s">
        <v>67</v>
      </c>
      <c r="C400" s="50" t="s">
        <v>72</v>
      </c>
      <c r="D400" s="50">
        <v>839</v>
      </c>
    </row>
    <row r="401" spans="1:4" ht="12.75">
      <c r="A401" s="50">
        <v>2005</v>
      </c>
      <c r="B401" s="50" t="s">
        <v>67</v>
      </c>
      <c r="C401" s="50" t="s">
        <v>72</v>
      </c>
      <c r="D401" s="50">
        <v>879</v>
      </c>
    </row>
    <row r="402" spans="1:4" ht="12.75">
      <c r="A402" s="50">
        <v>2006</v>
      </c>
      <c r="B402" s="50" t="s">
        <v>67</v>
      </c>
      <c r="C402" s="50" t="s">
        <v>72</v>
      </c>
      <c r="D402" s="50">
        <v>935</v>
      </c>
    </row>
    <row r="403" spans="1:4" ht="12.75">
      <c r="A403" s="50">
        <v>2007</v>
      </c>
      <c r="B403" s="50" t="s">
        <v>67</v>
      </c>
      <c r="C403" s="50" t="s">
        <v>72</v>
      </c>
      <c r="D403" s="50">
        <v>1028</v>
      </c>
    </row>
    <row r="404" spans="1:4" ht="12.75">
      <c r="A404" s="50">
        <v>2008</v>
      </c>
      <c r="B404" s="50" t="s">
        <v>67</v>
      </c>
      <c r="C404" s="50" t="s">
        <v>72</v>
      </c>
      <c r="D404" s="50">
        <v>1038</v>
      </c>
    </row>
    <row r="405" spans="1:4" ht="12.75">
      <c r="A405" s="50">
        <v>2009</v>
      </c>
      <c r="B405" s="50" t="s">
        <v>67</v>
      </c>
      <c r="C405" s="50" t="s">
        <v>72</v>
      </c>
      <c r="D405" s="50">
        <v>1104</v>
      </c>
    </row>
    <row r="406" spans="1:4" ht="12.75">
      <c r="A406" s="50">
        <v>2010</v>
      </c>
      <c r="B406" s="50" t="s">
        <v>67</v>
      </c>
      <c r="C406" s="50" t="s">
        <v>72</v>
      </c>
      <c r="D406" s="50">
        <v>1140</v>
      </c>
    </row>
    <row r="407" spans="1:4" ht="12.75">
      <c r="A407" s="50">
        <v>1994</v>
      </c>
      <c r="B407" s="50" t="s">
        <v>67</v>
      </c>
      <c r="C407" s="50" t="s">
        <v>73</v>
      </c>
      <c r="D407" s="50">
        <v>1016</v>
      </c>
    </row>
    <row r="408" spans="1:4" ht="12.75">
      <c r="A408" s="50">
        <v>1995</v>
      </c>
      <c r="B408" s="50" t="s">
        <v>67</v>
      </c>
      <c r="C408" s="50" t="s">
        <v>73</v>
      </c>
      <c r="D408" s="50">
        <v>1038</v>
      </c>
    </row>
    <row r="409" spans="1:4" ht="12.75">
      <c r="A409" s="50">
        <v>1996</v>
      </c>
      <c r="B409" s="50" t="s">
        <v>67</v>
      </c>
      <c r="C409" s="50" t="s">
        <v>73</v>
      </c>
      <c r="D409" s="50">
        <v>963</v>
      </c>
    </row>
    <row r="410" spans="1:4" ht="12.75">
      <c r="A410" s="50">
        <v>1997</v>
      </c>
      <c r="B410" s="50" t="s">
        <v>67</v>
      </c>
      <c r="C410" s="50" t="s">
        <v>73</v>
      </c>
      <c r="D410" s="50">
        <v>996</v>
      </c>
    </row>
    <row r="411" spans="1:4" ht="12.75">
      <c r="A411" s="50">
        <v>1998</v>
      </c>
      <c r="B411" s="50" t="s">
        <v>67</v>
      </c>
      <c r="C411" s="50" t="s">
        <v>73</v>
      </c>
      <c r="D411" s="50">
        <v>996</v>
      </c>
    </row>
    <row r="412" spans="1:4" ht="12.75">
      <c r="A412" s="50">
        <v>1999</v>
      </c>
      <c r="B412" s="50" t="s">
        <v>67</v>
      </c>
      <c r="C412" s="50" t="s">
        <v>73</v>
      </c>
      <c r="D412" s="50">
        <v>996</v>
      </c>
    </row>
    <row r="413" spans="1:4" ht="12.75">
      <c r="A413" s="50">
        <v>2000</v>
      </c>
      <c r="B413" s="50" t="s">
        <v>67</v>
      </c>
      <c r="C413" s="50" t="s">
        <v>73</v>
      </c>
      <c r="D413" s="50">
        <v>916</v>
      </c>
    </row>
    <row r="414" spans="1:4" ht="12.75">
      <c r="A414" s="50">
        <v>2001</v>
      </c>
      <c r="B414" s="50" t="s">
        <v>67</v>
      </c>
      <c r="C414" s="50" t="s">
        <v>73</v>
      </c>
      <c r="D414" s="50">
        <v>1100</v>
      </c>
    </row>
    <row r="415" spans="1:4" ht="12.75">
      <c r="A415" s="50">
        <v>2002</v>
      </c>
      <c r="B415" s="50" t="s">
        <v>67</v>
      </c>
      <c r="C415" s="50" t="s">
        <v>73</v>
      </c>
      <c r="D415" s="50">
        <v>1135</v>
      </c>
    </row>
    <row r="416" spans="1:4" ht="12.75">
      <c r="A416" s="50">
        <v>2003</v>
      </c>
      <c r="B416" s="50" t="s">
        <v>67</v>
      </c>
      <c r="C416" s="50" t="s">
        <v>73</v>
      </c>
      <c r="D416" s="50">
        <v>996</v>
      </c>
    </row>
    <row r="417" spans="1:4" ht="12.75">
      <c r="A417" s="50">
        <v>2004</v>
      </c>
      <c r="B417" s="50" t="s">
        <v>67</v>
      </c>
      <c r="C417" s="50" t="s">
        <v>73</v>
      </c>
      <c r="D417" s="50">
        <v>1020</v>
      </c>
    </row>
    <row r="418" spans="1:4" ht="12.75">
      <c r="A418" s="50">
        <v>2005</v>
      </c>
      <c r="B418" s="50" t="s">
        <v>67</v>
      </c>
      <c r="C418" s="50" t="s">
        <v>73</v>
      </c>
      <c r="D418" s="50">
        <v>1009</v>
      </c>
    </row>
    <row r="419" spans="1:4" ht="12.75">
      <c r="A419" s="50">
        <v>2006</v>
      </c>
      <c r="B419" s="50" t="s">
        <v>67</v>
      </c>
      <c r="C419" s="50" t="s">
        <v>73</v>
      </c>
      <c r="D419" s="50">
        <v>941</v>
      </c>
    </row>
    <row r="420" spans="1:4" ht="12.75">
      <c r="A420" s="50">
        <v>2007</v>
      </c>
      <c r="B420" s="50" t="s">
        <v>67</v>
      </c>
      <c r="C420" s="50" t="s">
        <v>73</v>
      </c>
      <c r="D420" s="50">
        <v>937</v>
      </c>
    </row>
    <row r="421" spans="1:4" ht="12.75">
      <c r="A421" s="50">
        <v>2008</v>
      </c>
      <c r="B421" s="50" t="s">
        <v>67</v>
      </c>
      <c r="C421" s="50" t="s">
        <v>73</v>
      </c>
      <c r="D421" s="50">
        <v>959</v>
      </c>
    </row>
    <row r="422" spans="1:4" ht="12.75">
      <c r="A422" s="50">
        <v>2009</v>
      </c>
      <c r="B422" s="50" t="s">
        <v>67</v>
      </c>
      <c r="C422" s="50" t="s">
        <v>73</v>
      </c>
      <c r="D422" s="50">
        <v>1004</v>
      </c>
    </row>
    <row r="423" spans="1:4" ht="12.75">
      <c r="A423" s="50">
        <v>2010</v>
      </c>
      <c r="B423" s="50" t="s">
        <v>67</v>
      </c>
      <c r="C423" s="50" t="s">
        <v>73</v>
      </c>
      <c r="D423" s="50">
        <v>1088</v>
      </c>
    </row>
    <row r="424" spans="1:4" ht="12.75">
      <c r="A424" s="50">
        <v>1994</v>
      </c>
      <c r="B424" s="50" t="s">
        <v>67</v>
      </c>
      <c r="C424" s="50" t="s">
        <v>74</v>
      </c>
      <c r="D424" s="50">
        <v>1312</v>
      </c>
    </row>
    <row r="425" spans="1:4" ht="12.75">
      <c r="A425" s="50">
        <v>1995</v>
      </c>
      <c r="B425" s="50" t="s">
        <v>67</v>
      </c>
      <c r="C425" s="50" t="s">
        <v>74</v>
      </c>
      <c r="D425" s="50">
        <v>1272</v>
      </c>
    </row>
    <row r="426" spans="1:4" ht="12.75">
      <c r="A426" s="50">
        <v>1996</v>
      </c>
      <c r="B426" s="50" t="s">
        <v>67</v>
      </c>
      <c r="C426" s="50" t="s">
        <v>74</v>
      </c>
      <c r="D426" s="50">
        <v>1172</v>
      </c>
    </row>
    <row r="427" spans="1:4" ht="12.75">
      <c r="A427" s="50">
        <v>1997</v>
      </c>
      <c r="B427" s="50" t="s">
        <v>67</v>
      </c>
      <c r="C427" s="50" t="s">
        <v>74</v>
      </c>
      <c r="D427" s="50">
        <v>1101</v>
      </c>
    </row>
    <row r="428" spans="1:4" ht="12.75">
      <c r="A428" s="50">
        <v>1998</v>
      </c>
      <c r="B428" s="50" t="s">
        <v>67</v>
      </c>
      <c r="C428" s="50" t="s">
        <v>74</v>
      </c>
      <c r="D428" s="50">
        <v>1104</v>
      </c>
    </row>
    <row r="429" spans="1:4" ht="12.75">
      <c r="A429" s="50">
        <v>1999</v>
      </c>
      <c r="B429" s="50" t="s">
        <v>67</v>
      </c>
      <c r="C429" s="50" t="s">
        <v>74</v>
      </c>
      <c r="D429" s="50">
        <v>1209</v>
      </c>
    </row>
    <row r="430" spans="1:4" ht="12.75">
      <c r="A430" s="50">
        <v>2000</v>
      </c>
      <c r="B430" s="50" t="s">
        <v>67</v>
      </c>
      <c r="C430" s="50" t="s">
        <v>74</v>
      </c>
      <c r="D430" s="50">
        <v>1249</v>
      </c>
    </row>
    <row r="431" spans="1:4" ht="12.75">
      <c r="A431" s="50">
        <v>2001</v>
      </c>
      <c r="B431" s="50" t="s">
        <v>67</v>
      </c>
      <c r="C431" s="50" t="s">
        <v>74</v>
      </c>
      <c r="D431" s="50">
        <v>1235</v>
      </c>
    </row>
    <row r="432" spans="1:4" ht="12.75">
      <c r="A432" s="50">
        <v>2002</v>
      </c>
      <c r="B432" s="50" t="s">
        <v>67</v>
      </c>
      <c r="C432" s="50" t="s">
        <v>74</v>
      </c>
      <c r="D432" s="50">
        <v>1190</v>
      </c>
    </row>
    <row r="433" spans="1:4" ht="12.75">
      <c r="A433" s="50">
        <v>2003</v>
      </c>
      <c r="B433" s="50" t="s">
        <v>67</v>
      </c>
      <c r="C433" s="50" t="s">
        <v>74</v>
      </c>
      <c r="D433" s="50">
        <v>1202</v>
      </c>
    </row>
    <row r="434" spans="1:4" ht="12.75">
      <c r="A434" s="50">
        <v>2004</v>
      </c>
      <c r="B434" s="50" t="s">
        <v>67</v>
      </c>
      <c r="C434" s="50" t="s">
        <v>74</v>
      </c>
      <c r="D434" s="50">
        <v>1226</v>
      </c>
    </row>
    <row r="435" spans="1:4" ht="12.75">
      <c r="A435" s="50">
        <v>2005</v>
      </c>
      <c r="B435" s="50" t="s">
        <v>67</v>
      </c>
      <c r="C435" s="50" t="s">
        <v>74</v>
      </c>
      <c r="D435" s="50">
        <v>1328</v>
      </c>
    </row>
    <row r="436" spans="1:4" ht="12.75">
      <c r="A436" s="50">
        <v>2006</v>
      </c>
      <c r="B436" s="50" t="s">
        <v>67</v>
      </c>
      <c r="C436" s="50" t="s">
        <v>74</v>
      </c>
      <c r="D436" s="50">
        <v>1267</v>
      </c>
    </row>
    <row r="437" spans="1:4" ht="12.75">
      <c r="A437" s="50">
        <v>2007</v>
      </c>
      <c r="B437" s="50" t="s">
        <v>67</v>
      </c>
      <c r="C437" s="50" t="s">
        <v>74</v>
      </c>
      <c r="D437" s="50">
        <v>1524</v>
      </c>
    </row>
    <row r="438" spans="1:4" ht="12.75">
      <c r="A438" s="50">
        <v>2008</v>
      </c>
      <c r="B438" s="50" t="s">
        <v>67</v>
      </c>
      <c r="C438" s="50" t="s">
        <v>74</v>
      </c>
      <c r="D438" s="50">
        <v>1523</v>
      </c>
    </row>
    <row r="439" spans="1:4" ht="12.75">
      <c r="A439" s="50">
        <v>2009</v>
      </c>
      <c r="B439" s="50" t="s">
        <v>67</v>
      </c>
      <c r="C439" s="50" t="s">
        <v>74</v>
      </c>
      <c r="D439" s="50">
        <v>1552</v>
      </c>
    </row>
    <row r="440" spans="1:4" ht="12.75">
      <c r="A440" s="50">
        <v>2010</v>
      </c>
      <c r="B440" s="50" t="s">
        <v>67</v>
      </c>
      <c r="C440" s="50" t="s">
        <v>74</v>
      </c>
      <c r="D440" s="50">
        <v>1456</v>
      </c>
    </row>
    <row r="441" spans="1:4" ht="12.75">
      <c r="A441" s="50">
        <v>1994</v>
      </c>
      <c r="B441" s="50" t="s">
        <v>67</v>
      </c>
      <c r="C441" s="50" t="s">
        <v>75</v>
      </c>
      <c r="D441" s="50">
        <v>1216</v>
      </c>
    </row>
    <row r="442" spans="1:4" ht="12.75">
      <c r="A442" s="50">
        <v>1995</v>
      </c>
      <c r="B442" s="50" t="s">
        <v>67</v>
      </c>
      <c r="C442" s="50" t="s">
        <v>75</v>
      </c>
      <c r="D442" s="50">
        <v>1447</v>
      </c>
    </row>
    <row r="443" spans="1:4" ht="12.75">
      <c r="A443" s="50">
        <v>1996</v>
      </c>
      <c r="B443" s="50" t="s">
        <v>67</v>
      </c>
      <c r="C443" s="50" t="s">
        <v>75</v>
      </c>
      <c r="D443" s="50">
        <v>1212</v>
      </c>
    </row>
    <row r="444" spans="1:4" ht="12.75">
      <c r="A444" s="50">
        <v>1997</v>
      </c>
      <c r="B444" s="50" t="s">
        <v>67</v>
      </c>
      <c r="C444" s="50" t="s">
        <v>75</v>
      </c>
      <c r="D444" s="50">
        <v>1124</v>
      </c>
    </row>
    <row r="445" spans="1:4" ht="12.75">
      <c r="A445" s="50">
        <v>1998</v>
      </c>
      <c r="B445" s="50" t="s">
        <v>67</v>
      </c>
      <c r="C445" s="50" t="s">
        <v>75</v>
      </c>
      <c r="D445" s="50">
        <v>1240</v>
      </c>
    </row>
    <row r="446" spans="1:4" ht="12.75">
      <c r="A446" s="50">
        <v>1999</v>
      </c>
      <c r="B446" s="50" t="s">
        <v>67</v>
      </c>
      <c r="C446" s="50" t="s">
        <v>75</v>
      </c>
      <c r="D446" s="50">
        <v>1395</v>
      </c>
    </row>
    <row r="447" spans="1:4" ht="12.75">
      <c r="A447" s="50">
        <v>2000</v>
      </c>
      <c r="B447" s="50" t="s">
        <v>67</v>
      </c>
      <c r="C447" s="50" t="s">
        <v>75</v>
      </c>
      <c r="D447" s="50">
        <v>1436</v>
      </c>
    </row>
    <row r="448" spans="1:4" ht="12.75">
      <c r="A448" s="50">
        <v>2001</v>
      </c>
      <c r="B448" s="50" t="s">
        <v>67</v>
      </c>
      <c r="C448" s="50" t="s">
        <v>75</v>
      </c>
      <c r="D448" s="50">
        <v>1505</v>
      </c>
    </row>
    <row r="449" spans="1:4" ht="12.75">
      <c r="A449" s="50">
        <v>2002</v>
      </c>
      <c r="B449" s="50" t="s">
        <v>67</v>
      </c>
      <c r="C449" s="50" t="s">
        <v>75</v>
      </c>
      <c r="D449" s="50">
        <v>1458</v>
      </c>
    </row>
    <row r="450" spans="1:4" ht="12.75">
      <c r="A450" s="50">
        <v>2003</v>
      </c>
      <c r="B450" s="50" t="s">
        <v>67</v>
      </c>
      <c r="C450" s="50" t="s">
        <v>75</v>
      </c>
      <c r="D450" s="50">
        <v>1411</v>
      </c>
    </row>
    <row r="451" spans="1:4" ht="12.75">
      <c r="A451" s="50">
        <v>2004</v>
      </c>
      <c r="B451" s="50" t="s">
        <v>67</v>
      </c>
      <c r="C451" s="50" t="s">
        <v>75</v>
      </c>
      <c r="D451" s="50">
        <v>1392</v>
      </c>
    </row>
    <row r="452" spans="1:4" ht="12.75">
      <c r="A452" s="50">
        <v>2005</v>
      </c>
      <c r="B452" s="50" t="s">
        <v>67</v>
      </c>
      <c r="C452" s="50" t="s">
        <v>75</v>
      </c>
      <c r="D452" s="50">
        <v>1544</v>
      </c>
    </row>
    <row r="453" spans="1:4" ht="12.75">
      <c r="A453" s="50">
        <v>2006</v>
      </c>
      <c r="B453" s="50" t="s">
        <v>67</v>
      </c>
      <c r="C453" s="50" t="s">
        <v>75</v>
      </c>
      <c r="D453" s="50">
        <v>1388</v>
      </c>
    </row>
    <row r="454" spans="1:4" ht="12.75">
      <c r="A454" s="50">
        <v>2007</v>
      </c>
      <c r="B454" s="50" t="s">
        <v>67</v>
      </c>
      <c r="C454" s="50" t="s">
        <v>75</v>
      </c>
      <c r="D454" s="50">
        <v>1651</v>
      </c>
    </row>
    <row r="455" spans="1:4" ht="12.75">
      <c r="A455" s="50">
        <v>2008</v>
      </c>
      <c r="B455" s="50" t="s">
        <v>67</v>
      </c>
      <c r="C455" s="50" t="s">
        <v>75</v>
      </c>
      <c r="D455" s="50">
        <v>1679</v>
      </c>
    </row>
    <row r="456" spans="1:4" ht="12.75">
      <c r="A456" s="50">
        <v>2009</v>
      </c>
      <c r="B456" s="50" t="s">
        <v>67</v>
      </c>
      <c r="C456" s="50" t="s">
        <v>75</v>
      </c>
      <c r="D456" s="50">
        <v>1644</v>
      </c>
    </row>
    <row r="457" spans="1:4" ht="12.75">
      <c r="A457" s="50">
        <v>2010</v>
      </c>
      <c r="B457" s="50" t="s">
        <v>67</v>
      </c>
      <c r="C457" s="50" t="s">
        <v>75</v>
      </c>
      <c r="D457" s="50">
        <v>1818</v>
      </c>
    </row>
    <row r="458" spans="1:4" ht="12.75">
      <c r="A458" s="50">
        <v>1994</v>
      </c>
      <c r="B458" s="50" t="s">
        <v>67</v>
      </c>
      <c r="C458" s="50" t="s">
        <v>76</v>
      </c>
      <c r="D458" s="50">
        <v>1544</v>
      </c>
    </row>
    <row r="459" spans="1:4" ht="12.75">
      <c r="A459" s="50">
        <v>1995</v>
      </c>
      <c r="B459" s="50" t="s">
        <v>67</v>
      </c>
      <c r="C459" s="50" t="s">
        <v>76</v>
      </c>
      <c r="D459" s="50">
        <v>1504</v>
      </c>
    </row>
    <row r="460" spans="1:4" ht="12.75">
      <c r="A460" s="50">
        <v>1996</v>
      </c>
      <c r="B460" s="50" t="s">
        <v>67</v>
      </c>
      <c r="C460" s="50" t="s">
        <v>76</v>
      </c>
      <c r="D460" s="50">
        <v>1468</v>
      </c>
    </row>
    <row r="461" spans="1:4" ht="12.75">
      <c r="A461" s="50">
        <v>1997</v>
      </c>
      <c r="B461" s="50" t="s">
        <v>67</v>
      </c>
      <c r="C461" s="50" t="s">
        <v>76</v>
      </c>
      <c r="D461" s="50">
        <v>1656</v>
      </c>
    </row>
    <row r="462" spans="1:4" ht="12.75">
      <c r="A462" s="50">
        <v>1998</v>
      </c>
      <c r="B462" s="50" t="s">
        <v>67</v>
      </c>
      <c r="C462" s="50" t="s">
        <v>76</v>
      </c>
      <c r="D462" s="50">
        <v>1483</v>
      </c>
    </row>
    <row r="463" spans="1:4" ht="12.75">
      <c r="A463" s="50">
        <v>1999</v>
      </c>
      <c r="B463" s="50" t="s">
        <v>67</v>
      </c>
      <c r="C463" s="50" t="s">
        <v>76</v>
      </c>
      <c r="D463" s="50">
        <v>1451</v>
      </c>
    </row>
    <row r="464" spans="1:4" ht="12.75">
      <c r="A464" s="50">
        <v>2000</v>
      </c>
      <c r="B464" s="50" t="s">
        <v>67</v>
      </c>
      <c r="C464" s="50" t="s">
        <v>76</v>
      </c>
      <c r="D464" s="50">
        <v>1400</v>
      </c>
    </row>
    <row r="465" spans="1:4" ht="12.75">
      <c r="A465" s="50">
        <v>2001</v>
      </c>
      <c r="B465" s="50" t="s">
        <v>67</v>
      </c>
      <c r="C465" s="50" t="s">
        <v>76</v>
      </c>
      <c r="D465" s="50">
        <v>1458</v>
      </c>
    </row>
    <row r="466" spans="1:4" ht="12.75">
      <c r="A466" s="50">
        <v>2002</v>
      </c>
      <c r="B466" s="50" t="s">
        <v>67</v>
      </c>
      <c r="C466" s="50" t="s">
        <v>76</v>
      </c>
      <c r="D466" s="50">
        <v>1445</v>
      </c>
    </row>
    <row r="467" spans="1:4" ht="12.75">
      <c r="A467" s="50">
        <v>2003</v>
      </c>
      <c r="B467" s="50" t="s">
        <v>67</v>
      </c>
      <c r="C467" s="50" t="s">
        <v>76</v>
      </c>
      <c r="D467" s="50">
        <v>1312</v>
      </c>
    </row>
    <row r="468" spans="1:4" ht="12.75">
      <c r="A468" s="50">
        <v>2004</v>
      </c>
      <c r="B468" s="50" t="s">
        <v>67</v>
      </c>
      <c r="C468" s="50" t="s">
        <v>76</v>
      </c>
      <c r="D468" s="50">
        <v>1478</v>
      </c>
    </row>
    <row r="469" spans="1:4" ht="12.75">
      <c r="A469" s="50">
        <v>2005</v>
      </c>
      <c r="B469" s="50" t="s">
        <v>67</v>
      </c>
      <c r="C469" s="50" t="s">
        <v>76</v>
      </c>
      <c r="D469" s="50">
        <v>1442</v>
      </c>
    </row>
    <row r="470" spans="1:4" ht="12.75">
      <c r="A470" s="50">
        <v>2006</v>
      </c>
      <c r="B470" s="50" t="s">
        <v>67</v>
      </c>
      <c r="C470" s="50" t="s">
        <v>76</v>
      </c>
      <c r="D470" s="50">
        <v>1365</v>
      </c>
    </row>
    <row r="471" spans="1:4" ht="12.75">
      <c r="A471" s="50">
        <v>2007</v>
      </c>
      <c r="B471" s="50" t="s">
        <v>67</v>
      </c>
      <c r="C471" s="50" t="s">
        <v>76</v>
      </c>
      <c r="D471" s="50">
        <v>1404</v>
      </c>
    </row>
    <row r="472" spans="1:4" ht="12.75">
      <c r="A472" s="50">
        <v>2008</v>
      </c>
      <c r="B472" s="50" t="s">
        <v>67</v>
      </c>
      <c r="C472" s="50" t="s">
        <v>76</v>
      </c>
      <c r="D472" s="50">
        <v>1334</v>
      </c>
    </row>
    <row r="473" spans="1:4" ht="12.75">
      <c r="A473" s="50">
        <v>2009</v>
      </c>
      <c r="B473" s="50" t="s">
        <v>67</v>
      </c>
      <c r="C473" s="50" t="s">
        <v>76</v>
      </c>
      <c r="D473" s="50">
        <v>1339</v>
      </c>
    </row>
    <row r="474" spans="1:4" ht="12.75">
      <c r="A474" s="50">
        <v>2010</v>
      </c>
      <c r="B474" s="50" t="s">
        <v>67</v>
      </c>
      <c r="C474" s="50" t="s">
        <v>76</v>
      </c>
      <c r="D474" s="50">
        <v>1417</v>
      </c>
    </row>
    <row r="475" spans="1:4" ht="12.75">
      <c r="A475" s="50">
        <v>1994</v>
      </c>
      <c r="B475" s="50" t="s">
        <v>67</v>
      </c>
      <c r="C475" s="50" t="s">
        <v>77</v>
      </c>
      <c r="D475" s="50">
        <v>1501</v>
      </c>
    </row>
    <row r="476" spans="1:4" ht="12.75">
      <c r="A476" s="50">
        <v>1995</v>
      </c>
      <c r="B476" s="50" t="s">
        <v>67</v>
      </c>
      <c r="C476" s="50" t="s">
        <v>77</v>
      </c>
      <c r="D476" s="50">
        <v>1545</v>
      </c>
    </row>
    <row r="477" spans="1:4" ht="12.75">
      <c r="A477" s="50">
        <v>1996</v>
      </c>
      <c r="B477" s="50" t="s">
        <v>67</v>
      </c>
      <c r="C477" s="50" t="s">
        <v>77</v>
      </c>
      <c r="D477" s="50">
        <v>1276</v>
      </c>
    </row>
    <row r="478" spans="1:4" ht="12.75">
      <c r="A478" s="50">
        <v>1997</v>
      </c>
      <c r="B478" s="50" t="s">
        <v>67</v>
      </c>
      <c r="C478" s="50" t="s">
        <v>77</v>
      </c>
      <c r="D478" s="50">
        <v>1348</v>
      </c>
    </row>
    <row r="479" spans="1:4" ht="12.75">
      <c r="A479" s="50">
        <v>1998</v>
      </c>
      <c r="B479" s="50" t="s">
        <v>67</v>
      </c>
      <c r="C479" s="50" t="s">
        <v>77</v>
      </c>
      <c r="D479" s="50">
        <v>1450</v>
      </c>
    </row>
    <row r="480" spans="1:4" ht="12.75">
      <c r="A480" s="50">
        <v>1999</v>
      </c>
      <c r="B480" s="50" t="s">
        <v>67</v>
      </c>
      <c r="C480" s="50" t="s">
        <v>77</v>
      </c>
      <c r="D480" s="50">
        <v>1335</v>
      </c>
    </row>
    <row r="481" spans="1:4" ht="12.75">
      <c r="A481" s="50">
        <v>2000</v>
      </c>
      <c r="B481" s="50" t="s">
        <v>67</v>
      </c>
      <c r="C481" s="50" t="s">
        <v>77</v>
      </c>
      <c r="D481" s="50">
        <v>1456</v>
      </c>
    </row>
    <row r="482" spans="1:4" ht="12.75">
      <c r="A482" s="50">
        <v>2001</v>
      </c>
      <c r="B482" s="50" t="s">
        <v>67</v>
      </c>
      <c r="C482" s="50" t="s">
        <v>77</v>
      </c>
      <c r="D482" s="50">
        <v>1441</v>
      </c>
    </row>
    <row r="483" spans="1:4" ht="12.75">
      <c r="A483" s="50">
        <v>2002</v>
      </c>
      <c r="B483" s="50" t="s">
        <v>67</v>
      </c>
      <c r="C483" s="50" t="s">
        <v>77</v>
      </c>
      <c r="D483" s="50">
        <v>1252</v>
      </c>
    </row>
    <row r="484" spans="1:4" ht="12.75">
      <c r="A484" s="50">
        <v>2003</v>
      </c>
      <c r="B484" s="50" t="s">
        <v>67</v>
      </c>
      <c r="C484" s="50" t="s">
        <v>77</v>
      </c>
      <c r="D484" s="50">
        <v>1358</v>
      </c>
    </row>
    <row r="485" spans="1:4" ht="12.75">
      <c r="A485" s="50">
        <v>2004</v>
      </c>
      <c r="B485" s="50" t="s">
        <v>67</v>
      </c>
      <c r="C485" s="50" t="s">
        <v>77</v>
      </c>
      <c r="D485" s="50">
        <v>1436</v>
      </c>
    </row>
    <row r="486" spans="1:4" ht="12.75">
      <c r="A486" s="50">
        <v>2005</v>
      </c>
      <c r="B486" s="50" t="s">
        <v>67</v>
      </c>
      <c r="C486" s="50" t="s">
        <v>77</v>
      </c>
      <c r="D486" s="50">
        <v>1501</v>
      </c>
    </row>
    <row r="487" spans="1:4" ht="12.75">
      <c r="A487" s="50">
        <v>2006</v>
      </c>
      <c r="B487" s="50" t="s">
        <v>67</v>
      </c>
      <c r="C487" s="50" t="s">
        <v>77</v>
      </c>
      <c r="D487" s="50">
        <v>1545</v>
      </c>
    </row>
    <row r="488" spans="1:4" ht="12.75">
      <c r="A488" s="50">
        <v>2007</v>
      </c>
      <c r="B488" s="50" t="s">
        <v>67</v>
      </c>
      <c r="C488" s="50" t="s">
        <v>77</v>
      </c>
      <c r="D488" s="50">
        <v>1496</v>
      </c>
    </row>
    <row r="489" spans="1:4" ht="12.75">
      <c r="A489" s="50">
        <v>2008</v>
      </c>
      <c r="B489" s="50" t="s">
        <v>67</v>
      </c>
      <c r="C489" s="50" t="s">
        <v>77</v>
      </c>
      <c r="D489" s="50">
        <v>1586</v>
      </c>
    </row>
    <row r="490" spans="1:4" ht="12.75">
      <c r="A490" s="50">
        <v>2009</v>
      </c>
      <c r="B490" s="50" t="s">
        <v>67</v>
      </c>
      <c r="C490" s="50" t="s">
        <v>77</v>
      </c>
      <c r="D490" s="50">
        <v>1479</v>
      </c>
    </row>
    <row r="491" spans="1:4" ht="12.75">
      <c r="A491" s="50">
        <v>2010</v>
      </c>
      <c r="B491" s="50" t="s">
        <v>67</v>
      </c>
      <c r="C491" s="50" t="s">
        <v>77</v>
      </c>
      <c r="D491" s="50">
        <v>1547</v>
      </c>
    </row>
    <row r="492" spans="1:4" ht="12.75">
      <c r="A492" s="50">
        <v>1994</v>
      </c>
      <c r="B492" s="50" t="s">
        <v>67</v>
      </c>
      <c r="C492" s="50" t="s">
        <v>78</v>
      </c>
      <c r="D492" s="50">
        <v>3635</v>
      </c>
    </row>
    <row r="493" spans="1:4" ht="12.75">
      <c r="A493" s="50">
        <v>1995</v>
      </c>
      <c r="B493" s="50" t="s">
        <v>67</v>
      </c>
      <c r="C493" s="50" t="s">
        <v>78</v>
      </c>
      <c r="D493" s="50">
        <v>3845</v>
      </c>
    </row>
    <row r="494" spans="1:4" ht="12.75">
      <c r="A494" s="50">
        <v>1996</v>
      </c>
      <c r="B494" s="50" t="s">
        <v>67</v>
      </c>
      <c r="C494" s="50" t="s">
        <v>78</v>
      </c>
      <c r="D494" s="50">
        <v>3697</v>
      </c>
    </row>
    <row r="495" spans="1:4" ht="12.75">
      <c r="A495" s="50">
        <v>1997</v>
      </c>
      <c r="B495" s="50" t="s">
        <v>67</v>
      </c>
      <c r="C495" s="50" t="s">
        <v>78</v>
      </c>
      <c r="D495" s="50">
        <v>3514</v>
      </c>
    </row>
    <row r="496" spans="1:4" ht="12.75">
      <c r="A496" s="50">
        <v>1998</v>
      </c>
      <c r="B496" s="50" t="s">
        <v>67</v>
      </c>
      <c r="C496" s="50" t="s">
        <v>78</v>
      </c>
      <c r="D496" s="50">
        <v>3787</v>
      </c>
    </row>
    <row r="497" spans="1:4" ht="12.75">
      <c r="A497" s="50">
        <v>1999</v>
      </c>
      <c r="B497" s="50" t="s">
        <v>67</v>
      </c>
      <c r="C497" s="50" t="s">
        <v>78</v>
      </c>
      <c r="D497" s="50">
        <v>3877</v>
      </c>
    </row>
    <row r="498" spans="1:4" ht="12.75">
      <c r="A498" s="50">
        <v>2000</v>
      </c>
      <c r="B498" s="50" t="s">
        <v>67</v>
      </c>
      <c r="C498" s="50" t="s">
        <v>78</v>
      </c>
      <c r="D498" s="50">
        <v>4174</v>
      </c>
    </row>
    <row r="499" spans="1:4" ht="12.75">
      <c r="A499" s="50">
        <v>2001</v>
      </c>
      <c r="B499" s="50" t="s">
        <v>67</v>
      </c>
      <c r="C499" s="50" t="s">
        <v>78</v>
      </c>
      <c r="D499" s="50">
        <v>4113</v>
      </c>
    </row>
    <row r="500" spans="1:4" ht="12.75">
      <c r="A500" s="50">
        <v>2002</v>
      </c>
      <c r="B500" s="50" t="s">
        <v>67</v>
      </c>
      <c r="C500" s="50" t="s">
        <v>78</v>
      </c>
      <c r="D500" s="50">
        <v>4376</v>
      </c>
    </row>
    <row r="501" spans="1:4" ht="12.75">
      <c r="A501" s="50">
        <v>2003</v>
      </c>
      <c r="B501" s="50" t="s">
        <v>67</v>
      </c>
      <c r="C501" s="50" t="s">
        <v>78</v>
      </c>
      <c r="D501" s="50">
        <v>4607</v>
      </c>
    </row>
    <row r="502" spans="1:4" ht="12.75">
      <c r="A502" s="50">
        <v>2004</v>
      </c>
      <c r="B502" s="50" t="s">
        <v>67</v>
      </c>
      <c r="C502" s="50" t="s">
        <v>78</v>
      </c>
      <c r="D502" s="50">
        <v>4631</v>
      </c>
    </row>
    <row r="503" spans="1:4" ht="12.75">
      <c r="A503" s="50">
        <v>2005</v>
      </c>
      <c r="B503" s="50" t="s">
        <v>67</v>
      </c>
      <c r="C503" s="50" t="s">
        <v>78</v>
      </c>
      <c r="D503" s="50">
        <v>4663</v>
      </c>
    </row>
    <row r="504" spans="1:4" ht="12.75">
      <c r="A504" s="50">
        <v>2006</v>
      </c>
      <c r="B504" s="50" t="s">
        <v>67</v>
      </c>
      <c r="C504" s="50" t="s">
        <v>78</v>
      </c>
      <c r="D504" s="50">
        <v>4785</v>
      </c>
    </row>
    <row r="505" spans="1:4" ht="12.75">
      <c r="A505" s="50">
        <v>2007</v>
      </c>
      <c r="B505" s="50" t="s">
        <v>67</v>
      </c>
      <c r="C505" s="50" t="s">
        <v>78</v>
      </c>
      <c r="D505" s="50">
        <v>4904</v>
      </c>
    </row>
    <row r="506" spans="1:4" ht="12.75">
      <c r="A506" s="50">
        <v>2008</v>
      </c>
      <c r="B506" s="50" t="s">
        <v>67</v>
      </c>
      <c r="C506" s="50" t="s">
        <v>78</v>
      </c>
      <c r="D506" s="50">
        <v>5702</v>
      </c>
    </row>
    <row r="507" spans="1:4" ht="12.75">
      <c r="A507" s="50">
        <v>2009</v>
      </c>
      <c r="B507" s="50" t="s">
        <v>67</v>
      </c>
      <c r="C507" s="50" t="s">
        <v>78</v>
      </c>
      <c r="D507" s="50">
        <v>5499</v>
      </c>
    </row>
    <row r="508" spans="1:4" ht="12.75">
      <c r="A508" s="50">
        <v>2010</v>
      </c>
      <c r="B508" s="50" t="s">
        <v>67</v>
      </c>
      <c r="C508" s="50" t="s">
        <v>78</v>
      </c>
      <c r="D508" s="50">
        <v>6004</v>
      </c>
    </row>
    <row r="509" spans="1:4" ht="12.75">
      <c r="A509" s="50">
        <v>1994</v>
      </c>
      <c r="B509" s="50" t="s">
        <v>67</v>
      </c>
      <c r="C509" s="50" t="s">
        <v>79</v>
      </c>
      <c r="D509" s="50">
        <v>526</v>
      </c>
    </row>
    <row r="510" spans="1:4" ht="12.75">
      <c r="A510" s="50">
        <v>1995</v>
      </c>
      <c r="B510" s="50" t="s">
        <v>67</v>
      </c>
      <c r="C510" s="50" t="s">
        <v>79</v>
      </c>
      <c r="D510" s="50">
        <v>602</v>
      </c>
    </row>
    <row r="511" spans="1:4" ht="12.75">
      <c r="A511" s="50">
        <v>1996</v>
      </c>
      <c r="B511" s="50" t="s">
        <v>67</v>
      </c>
      <c r="C511" s="50" t="s">
        <v>79</v>
      </c>
      <c r="D511" s="50">
        <v>568</v>
      </c>
    </row>
    <row r="512" spans="1:4" ht="12.75">
      <c r="A512" s="50">
        <v>1997</v>
      </c>
      <c r="B512" s="50" t="s">
        <v>67</v>
      </c>
      <c r="C512" s="50" t="s">
        <v>79</v>
      </c>
      <c r="D512" s="50">
        <v>570</v>
      </c>
    </row>
    <row r="513" spans="1:4" ht="12.75">
      <c r="A513" s="50">
        <v>1998</v>
      </c>
      <c r="B513" s="50" t="s">
        <v>67</v>
      </c>
      <c r="C513" s="50" t="s">
        <v>79</v>
      </c>
      <c r="D513" s="50">
        <v>620</v>
      </c>
    </row>
    <row r="514" spans="1:4" ht="12.75">
      <c r="A514" s="50">
        <v>1999</v>
      </c>
      <c r="B514" s="50" t="s">
        <v>67</v>
      </c>
      <c r="C514" s="50" t="s">
        <v>79</v>
      </c>
      <c r="D514" s="50">
        <v>647</v>
      </c>
    </row>
    <row r="515" spans="1:4" ht="12.75">
      <c r="A515" s="50">
        <v>2000</v>
      </c>
      <c r="B515" s="50" t="s">
        <v>67</v>
      </c>
      <c r="C515" s="50" t="s">
        <v>79</v>
      </c>
      <c r="D515" s="50">
        <v>689</v>
      </c>
    </row>
    <row r="516" spans="1:4" ht="12.75">
      <c r="A516" s="50">
        <v>2001</v>
      </c>
      <c r="B516" s="50" t="s">
        <v>67</v>
      </c>
      <c r="C516" s="50" t="s">
        <v>79</v>
      </c>
      <c r="D516" s="50">
        <v>736</v>
      </c>
    </row>
    <row r="517" spans="1:4" ht="12.75">
      <c r="A517" s="50">
        <v>2002</v>
      </c>
      <c r="B517" s="50" t="s">
        <v>67</v>
      </c>
      <c r="C517" s="50" t="s">
        <v>79</v>
      </c>
      <c r="D517" s="50">
        <v>748</v>
      </c>
    </row>
    <row r="518" spans="1:4" ht="12.75">
      <c r="A518" s="50">
        <v>2003</v>
      </c>
      <c r="B518" s="50" t="s">
        <v>67</v>
      </c>
      <c r="C518" s="50" t="s">
        <v>79</v>
      </c>
      <c r="D518" s="50">
        <v>765</v>
      </c>
    </row>
    <row r="519" spans="1:4" ht="12.75">
      <c r="A519" s="50">
        <v>2004</v>
      </c>
      <c r="B519" s="50" t="s">
        <v>67</v>
      </c>
      <c r="C519" s="50" t="s">
        <v>79</v>
      </c>
      <c r="D519" s="50">
        <v>906</v>
      </c>
    </row>
    <row r="520" spans="1:4" ht="12.75">
      <c r="A520" s="50">
        <v>2005</v>
      </c>
      <c r="B520" s="50" t="s">
        <v>67</v>
      </c>
      <c r="C520" s="50" t="s">
        <v>79</v>
      </c>
      <c r="D520" s="50">
        <v>1016</v>
      </c>
    </row>
    <row r="521" spans="1:4" ht="12.75">
      <c r="A521" s="50">
        <v>2006</v>
      </c>
      <c r="B521" s="50" t="s">
        <v>67</v>
      </c>
      <c r="C521" s="50" t="s">
        <v>79</v>
      </c>
      <c r="D521" s="50">
        <v>929</v>
      </c>
    </row>
    <row r="522" spans="1:4" ht="12.75">
      <c r="A522" s="50">
        <v>2007</v>
      </c>
      <c r="B522" s="50" t="s">
        <v>67</v>
      </c>
      <c r="C522" s="50" t="s">
        <v>79</v>
      </c>
      <c r="D522" s="50">
        <v>916</v>
      </c>
    </row>
    <row r="523" spans="1:4" ht="12.75">
      <c r="A523" s="50">
        <v>2008</v>
      </c>
      <c r="B523" s="50" t="s">
        <v>67</v>
      </c>
      <c r="C523" s="50" t="s">
        <v>79</v>
      </c>
      <c r="D523" s="50">
        <v>975</v>
      </c>
    </row>
    <row r="524" spans="1:4" ht="12.75">
      <c r="A524" s="50">
        <v>2009</v>
      </c>
      <c r="B524" s="50" t="s">
        <v>67</v>
      </c>
      <c r="C524" s="50" t="s">
        <v>79</v>
      </c>
      <c r="D524" s="50">
        <v>979</v>
      </c>
    </row>
    <row r="525" spans="1:4" ht="12.75">
      <c r="A525" s="50">
        <v>2010</v>
      </c>
      <c r="B525" s="50" t="s">
        <v>67</v>
      </c>
      <c r="C525" s="50" t="s">
        <v>79</v>
      </c>
      <c r="D525" s="50">
        <v>1109</v>
      </c>
    </row>
    <row r="526" spans="1:4" ht="12.75">
      <c r="A526" s="50">
        <v>1994</v>
      </c>
      <c r="B526" s="50" t="s">
        <v>67</v>
      </c>
      <c r="C526" s="50" t="s">
        <v>80</v>
      </c>
      <c r="D526" s="50">
        <v>669</v>
      </c>
    </row>
    <row r="527" spans="1:4" ht="12.75">
      <c r="A527" s="50">
        <v>1995</v>
      </c>
      <c r="B527" s="50" t="s">
        <v>67</v>
      </c>
      <c r="C527" s="50" t="s">
        <v>80</v>
      </c>
      <c r="D527" s="50">
        <v>715</v>
      </c>
    </row>
    <row r="528" spans="1:4" ht="12.75">
      <c r="A528" s="50">
        <v>1996</v>
      </c>
      <c r="B528" s="50" t="s">
        <v>67</v>
      </c>
      <c r="C528" s="50" t="s">
        <v>80</v>
      </c>
      <c r="D528" s="50">
        <v>632</v>
      </c>
    </row>
    <row r="529" spans="1:4" ht="12.75">
      <c r="A529" s="50">
        <v>1997</v>
      </c>
      <c r="B529" s="50" t="s">
        <v>67</v>
      </c>
      <c r="C529" s="50" t="s">
        <v>80</v>
      </c>
      <c r="D529" s="50">
        <v>458</v>
      </c>
    </row>
    <row r="530" spans="1:4" ht="12.75">
      <c r="A530" s="50">
        <v>1998</v>
      </c>
      <c r="B530" s="50" t="s">
        <v>67</v>
      </c>
      <c r="C530" s="50" t="s">
        <v>80</v>
      </c>
      <c r="D530" s="50">
        <v>529</v>
      </c>
    </row>
    <row r="531" spans="1:4" ht="12.75">
      <c r="A531" s="50">
        <v>1999</v>
      </c>
      <c r="B531" s="50" t="s">
        <v>67</v>
      </c>
      <c r="C531" s="50" t="s">
        <v>80</v>
      </c>
      <c r="D531" s="50">
        <v>541</v>
      </c>
    </row>
    <row r="532" spans="1:4" ht="12.75">
      <c r="A532" s="50">
        <v>2000</v>
      </c>
      <c r="B532" s="50" t="s">
        <v>67</v>
      </c>
      <c r="C532" s="50" t="s">
        <v>80</v>
      </c>
      <c r="D532" s="50">
        <v>498</v>
      </c>
    </row>
    <row r="533" spans="1:4" ht="12.75">
      <c r="A533" s="50">
        <v>2001</v>
      </c>
      <c r="B533" s="50" t="s">
        <v>67</v>
      </c>
      <c r="C533" s="50" t="s">
        <v>80</v>
      </c>
      <c r="D533" s="50">
        <v>515</v>
      </c>
    </row>
    <row r="534" spans="1:4" ht="12.75">
      <c r="A534" s="50">
        <v>2002</v>
      </c>
      <c r="B534" s="50" t="s">
        <v>67</v>
      </c>
      <c r="C534" s="50" t="s">
        <v>80</v>
      </c>
      <c r="D534" s="50">
        <v>426</v>
      </c>
    </row>
    <row r="535" spans="1:4" ht="12.75">
      <c r="A535" s="50">
        <v>2003</v>
      </c>
      <c r="B535" s="50" t="s">
        <v>67</v>
      </c>
      <c r="C535" s="50" t="s">
        <v>80</v>
      </c>
      <c r="D535" s="50">
        <v>466</v>
      </c>
    </row>
    <row r="536" spans="1:4" ht="12.75">
      <c r="A536" s="50">
        <v>2004</v>
      </c>
      <c r="B536" s="50" t="s">
        <v>67</v>
      </c>
      <c r="C536" s="50" t="s">
        <v>80</v>
      </c>
      <c r="D536" s="50">
        <v>399</v>
      </c>
    </row>
    <row r="537" spans="1:4" ht="12.75">
      <c r="A537" s="50">
        <v>2005</v>
      </c>
      <c r="B537" s="50" t="s">
        <v>67</v>
      </c>
      <c r="C537" s="50" t="s">
        <v>80</v>
      </c>
      <c r="D537" s="50">
        <v>498</v>
      </c>
    </row>
    <row r="538" spans="1:4" ht="12.75">
      <c r="A538" s="50">
        <v>2006</v>
      </c>
      <c r="B538" s="50" t="s">
        <v>67</v>
      </c>
      <c r="C538" s="50" t="s">
        <v>80</v>
      </c>
      <c r="D538" s="50">
        <v>477</v>
      </c>
    </row>
    <row r="539" spans="1:4" ht="12.75">
      <c r="A539" s="50">
        <v>2007</v>
      </c>
      <c r="B539" s="50" t="s">
        <v>67</v>
      </c>
      <c r="C539" s="50" t="s">
        <v>80</v>
      </c>
      <c r="D539" s="50">
        <v>462</v>
      </c>
    </row>
    <row r="540" spans="1:4" ht="12.75">
      <c r="A540" s="50">
        <v>2008</v>
      </c>
      <c r="B540" s="50" t="s">
        <v>67</v>
      </c>
      <c r="C540" s="50" t="s">
        <v>80</v>
      </c>
      <c r="D540" s="50">
        <v>438</v>
      </c>
    </row>
    <row r="541" spans="1:4" ht="12.75">
      <c r="A541" s="50">
        <v>2009</v>
      </c>
      <c r="B541" s="50" t="s">
        <v>67</v>
      </c>
      <c r="C541" s="50" t="s">
        <v>80</v>
      </c>
      <c r="D541" s="50">
        <v>494</v>
      </c>
    </row>
    <row r="542" spans="1:4" ht="12.75">
      <c r="A542" s="50">
        <v>2010</v>
      </c>
      <c r="B542" s="50" t="s">
        <v>67</v>
      </c>
      <c r="C542" s="50" t="s">
        <v>80</v>
      </c>
      <c r="D542" s="50">
        <v>479</v>
      </c>
    </row>
    <row r="543" spans="1:4" ht="12.75">
      <c r="A543" s="50">
        <v>2000</v>
      </c>
      <c r="B543" s="50" t="s">
        <v>81</v>
      </c>
      <c r="C543" s="50" t="s">
        <v>82</v>
      </c>
      <c r="D543" s="50">
        <v>158</v>
      </c>
    </row>
    <row r="544" spans="1:4" ht="12.75">
      <c r="A544" s="50">
        <v>2001</v>
      </c>
      <c r="B544" s="50" t="s">
        <v>81</v>
      </c>
      <c r="C544" s="50" t="s">
        <v>82</v>
      </c>
      <c r="D544" s="50">
        <v>179</v>
      </c>
    </row>
    <row r="545" spans="1:4" ht="12.75">
      <c r="A545" s="50">
        <v>2002</v>
      </c>
      <c r="B545" s="50" t="s">
        <v>81</v>
      </c>
      <c r="C545" s="50" t="s">
        <v>82</v>
      </c>
      <c r="D545" s="50">
        <v>155</v>
      </c>
    </row>
    <row r="546" spans="1:4" ht="12.75">
      <c r="A546" s="50">
        <v>2003</v>
      </c>
      <c r="B546" s="50" t="s">
        <v>81</v>
      </c>
      <c r="C546" s="50" t="s">
        <v>82</v>
      </c>
      <c r="D546" s="50">
        <v>150</v>
      </c>
    </row>
    <row r="547" spans="1:4" ht="12.75">
      <c r="A547" s="50">
        <v>2004</v>
      </c>
      <c r="B547" s="50" t="s">
        <v>81</v>
      </c>
      <c r="C547" s="50" t="s">
        <v>82</v>
      </c>
      <c r="D547" s="50">
        <v>146</v>
      </c>
    </row>
    <row r="548" spans="1:4" ht="12.75">
      <c r="A548" s="50">
        <v>2005</v>
      </c>
      <c r="B548" s="50" t="s">
        <v>81</v>
      </c>
      <c r="C548" s="50" t="s">
        <v>82</v>
      </c>
      <c r="D548" s="50">
        <v>184</v>
      </c>
    </row>
    <row r="549" spans="1:4" ht="12.75">
      <c r="A549" s="50">
        <v>2006</v>
      </c>
      <c r="B549" s="50" t="s">
        <v>81</v>
      </c>
      <c r="C549" s="50" t="s">
        <v>82</v>
      </c>
      <c r="D549" s="50">
        <v>171</v>
      </c>
    </row>
    <row r="550" spans="1:4" ht="12.75">
      <c r="A550" s="50">
        <v>2007</v>
      </c>
      <c r="B550" s="50" t="s">
        <v>81</v>
      </c>
      <c r="C550" s="50" t="s">
        <v>82</v>
      </c>
      <c r="D550" s="50">
        <v>178</v>
      </c>
    </row>
    <row r="551" spans="1:4" ht="12.75">
      <c r="A551" s="50">
        <v>2008</v>
      </c>
      <c r="B551" s="50" t="s">
        <v>81</v>
      </c>
      <c r="C551" s="50" t="s">
        <v>82</v>
      </c>
      <c r="D551" s="50">
        <v>178</v>
      </c>
    </row>
    <row r="552" spans="1:4" ht="12.75">
      <c r="A552" s="50">
        <v>2009</v>
      </c>
      <c r="B552" s="50" t="s">
        <v>81</v>
      </c>
      <c r="C552" s="50" t="s">
        <v>82</v>
      </c>
      <c r="D552" s="50">
        <v>161</v>
      </c>
    </row>
    <row r="553" spans="1:4" ht="12.75">
      <c r="A553" s="50">
        <v>2010</v>
      </c>
      <c r="B553" s="50" t="s">
        <v>81</v>
      </c>
      <c r="C553" s="50" t="s">
        <v>82</v>
      </c>
      <c r="D553" s="50">
        <v>167</v>
      </c>
    </row>
    <row r="554" spans="1:4" ht="12.75">
      <c r="A554" s="50">
        <v>2000</v>
      </c>
      <c r="B554" s="50" t="s">
        <v>81</v>
      </c>
      <c r="C554" s="50" t="s">
        <v>83</v>
      </c>
      <c r="D554" s="50">
        <v>62</v>
      </c>
    </row>
    <row r="555" spans="1:4" ht="12.75">
      <c r="A555" s="50">
        <v>2001</v>
      </c>
      <c r="B555" s="50" t="s">
        <v>81</v>
      </c>
      <c r="C555" s="50" t="s">
        <v>83</v>
      </c>
      <c r="D555" s="50">
        <v>45</v>
      </c>
    </row>
    <row r="556" spans="1:4" ht="12.75">
      <c r="A556" s="50">
        <v>2002</v>
      </c>
      <c r="B556" s="50" t="s">
        <v>81</v>
      </c>
      <c r="C556" s="50" t="s">
        <v>83</v>
      </c>
      <c r="D556" s="50">
        <v>78</v>
      </c>
    </row>
    <row r="557" spans="1:4" ht="12.75">
      <c r="A557" s="50">
        <v>2004</v>
      </c>
      <c r="B557" s="50" t="s">
        <v>81</v>
      </c>
      <c r="C557" s="50" t="s">
        <v>83</v>
      </c>
      <c r="D557" s="50">
        <v>47</v>
      </c>
    </row>
    <row r="558" spans="1:4" ht="12.75">
      <c r="A558" s="50">
        <v>2005</v>
      </c>
      <c r="B558" s="50" t="s">
        <v>81</v>
      </c>
      <c r="C558" s="50" t="s">
        <v>83</v>
      </c>
      <c r="D558" s="50">
        <v>98</v>
      </c>
    </row>
    <row r="559" spans="1:4" ht="12.75">
      <c r="A559" s="50">
        <v>2006</v>
      </c>
      <c r="B559" s="50" t="s">
        <v>81</v>
      </c>
      <c r="C559" s="50" t="s">
        <v>83</v>
      </c>
      <c r="D559" s="50">
        <v>107</v>
      </c>
    </row>
    <row r="560" spans="1:4" ht="12.75">
      <c r="A560" s="50">
        <v>2007</v>
      </c>
      <c r="B560" s="50" t="s">
        <v>81</v>
      </c>
      <c r="C560" s="50" t="s">
        <v>83</v>
      </c>
      <c r="D560" s="50">
        <v>163</v>
      </c>
    </row>
    <row r="561" spans="1:4" ht="12.75">
      <c r="A561" s="50">
        <v>2008</v>
      </c>
      <c r="B561" s="50" t="s">
        <v>81</v>
      </c>
      <c r="C561" s="50" t="s">
        <v>83</v>
      </c>
      <c r="D561" s="50">
        <v>287</v>
      </c>
    </row>
    <row r="562" spans="1:4" ht="12.75">
      <c r="A562" s="50">
        <v>2009</v>
      </c>
      <c r="B562" s="50" t="s">
        <v>81</v>
      </c>
      <c r="C562" s="50" t="s">
        <v>83</v>
      </c>
      <c r="D562" s="50">
        <v>65</v>
      </c>
    </row>
    <row r="563" spans="1:4" ht="12.75">
      <c r="A563" s="50">
        <v>2010</v>
      </c>
      <c r="B563" s="50" t="s">
        <v>81</v>
      </c>
      <c r="C563" s="50" t="s">
        <v>83</v>
      </c>
      <c r="D563" s="50">
        <v>77</v>
      </c>
    </row>
    <row r="564" spans="1:4" ht="12.75">
      <c r="A564" s="50">
        <v>2000</v>
      </c>
      <c r="B564" s="50" t="s">
        <v>84</v>
      </c>
      <c r="C564" s="50" t="s">
        <v>85</v>
      </c>
      <c r="D564" s="50">
        <v>166</v>
      </c>
    </row>
    <row r="565" spans="1:4" ht="12.75">
      <c r="A565" s="50">
        <v>2001</v>
      </c>
      <c r="B565" s="50" t="s">
        <v>84</v>
      </c>
      <c r="C565" s="50" t="s">
        <v>85</v>
      </c>
      <c r="D565" s="50">
        <v>156</v>
      </c>
    </row>
    <row r="566" spans="1:4" ht="12.75">
      <c r="A566" s="50">
        <v>2002</v>
      </c>
      <c r="B566" s="50" t="s">
        <v>84</v>
      </c>
      <c r="C566" s="50" t="s">
        <v>85</v>
      </c>
      <c r="D566" s="50">
        <v>129</v>
      </c>
    </row>
    <row r="567" spans="1:4" ht="12.75">
      <c r="A567" s="50">
        <v>2003</v>
      </c>
      <c r="B567" s="50" t="s">
        <v>84</v>
      </c>
      <c r="C567" s="50" t="s">
        <v>85</v>
      </c>
      <c r="D567" s="50">
        <v>152</v>
      </c>
    </row>
    <row r="568" spans="1:4" ht="12.75">
      <c r="A568" s="50">
        <v>2004</v>
      </c>
      <c r="B568" s="50" t="s">
        <v>84</v>
      </c>
      <c r="C568" s="50" t="s">
        <v>85</v>
      </c>
      <c r="D568" s="50">
        <v>132</v>
      </c>
    </row>
    <row r="569" spans="1:4" ht="12.75">
      <c r="A569" s="50">
        <v>2005</v>
      </c>
      <c r="B569" s="50" t="s">
        <v>84</v>
      </c>
      <c r="C569" s="50" t="s">
        <v>85</v>
      </c>
      <c r="D569" s="50">
        <v>154</v>
      </c>
    </row>
    <row r="570" spans="1:4" ht="12.75">
      <c r="A570" s="50">
        <v>2006</v>
      </c>
      <c r="B570" s="50" t="s">
        <v>84</v>
      </c>
      <c r="C570" s="50" t="s">
        <v>85</v>
      </c>
      <c r="D570" s="50">
        <v>138</v>
      </c>
    </row>
    <row r="571" spans="1:4" ht="12.75">
      <c r="A571" s="50">
        <v>2007</v>
      </c>
      <c r="B571" s="50" t="s">
        <v>84</v>
      </c>
      <c r="C571" s="50" t="s">
        <v>85</v>
      </c>
      <c r="D571" s="50">
        <v>114</v>
      </c>
    </row>
    <row r="572" spans="1:4" ht="12.75">
      <c r="A572" s="50">
        <v>2008</v>
      </c>
      <c r="B572" s="50" t="s">
        <v>84</v>
      </c>
      <c r="C572" s="50" t="s">
        <v>85</v>
      </c>
      <c r="D572" s="50">
        <v>183</v>
      </c>
    </row>
    <row r="573" spans="1:4" ht="12.75">
      <c r="A573" s="50">
        <v>2009</v>
      </c>
      <c r="B573" s="50" t="s">
        <v>84</v>
      </c>
      <c r="C573" s="50" t="s">
        <v>85</v>
      </c>
      <c r="D573" s="50">
        <v>118</v>
      </c>
    </row>
    <row r="574" spans="1:4" ht="12.75">
      <c r="A574" s="50">
        <v>2010</v>
      </c>
      <c r="B574" s="50" t="s">
        <v>84</v>
      </c>
      <c r="C574" s="50" t="s">
        <v>85</v>
      </c>
      <c r="D574" s="50">
        <v>167</v>
      </c>
    </row>
    <row r="575" spans="1:4" ht="12.75">
      <c r="A575" s="50">
        <v>2006</v>
      </c>
      <c r="B575" s="50" t="s">
        <v>84</v>
      </c>
      <c r="C575" s="50" t="s">
        <v>86</v>
      </c>
      <c r="D575" s="50"/>
    </row>
    <row r="576" spans="1:4" ht="12.75">
      <c r="A576" s="50">
        <v>2007</v>
      </c>
      <c r="B576" s="50" t="s">
        <v>84</v>
      </c>
      <c r="C576" s="50" t="s">
        <v>86</v>
      </c>
      <c r="D576" s="50"/>
    </row>
    <row r="577" spans="1:4" ht="12.75">
      <c r="A577" s="50">
        <v>2008</v>
      </c>
      <c r="B577" s="50" t="s">
        <v>84</v>
      </c>
      <c r="C577" s="50" t="s">
        <v>86</v>
      </c>
      <c r="D577" s="50"/>
    </row>
    <row r="578" spans="1:4" ht="12.75">
      <c r="A578" s="50">
        <v>2009</v>
      </c>
      <c r="B578" s="50" t="s">
        <v>84</v>
      </c>
      <c r="C578" s="50" t="s">
        <v>86</v>
      </c>
      <c r="D578" s="50"/>
    </row>
    <row r="579" spans="1:4" ht="12.75">
      <c r="A579" s="50">
        <v>2010</v>
      </c>
      <c r="B579" s="50" t="s">
        <v>84</v>
      </c>
      <c r="C579" s="50" t="s">
        <v>86</v>
      </c>
      <c r="D579" s="50"/>
    </row>
    <row r="580" spans="1:4" ht="12.75">
      <c r="A580" s="50">
        <v>2000</v>
      </c>
      <c r="B580" s="50" t="s">
        <v>84</v>
      </c>
      <c r="C580" s="50" t="s">
        <v>87</v>
      </c>
      <c r="D580" s="50">
        <v>219</v>
      </c>
    </row>
    <row r="581" spans="1:4" ht="12.75">
      <c r="A581" s="50">
        <v>2001</v>
      </c>
      <c r="B581" s="50" t="s">
        <v>84</v>
      </c>
      <c r="C581" s="50" t="s">
        <v>87</v>
      </c>
      <c r="D581" s="50">
        <v>244</v>
      </c>
    </row>
    <row r="582" spans="1:4" ht="12.75">
      <c r="A582" s="50">
        <v>2002</v>
      </c>
      <c r="B582" s="50" t="s">
        <v>84</v>
      </c>
      <c r="C582" s="50" t="s">
        <v>87</v>
      </c>
      <c r="D582" s="50">
        <v>233</v>
      </c>
    </row>
    <row r="583" spans="1:4" ht="12.75">
      <c r="A583" s="50">
        <v>2003</v>
      </c>
      <c r="B583" s="50" t="s">
        <v>84</v>
      </c>
      <c r="C583" s="50" t="s">
        <v>87</v>
      </c>
      <c r="D583" s="50">
        <v>223</v>
      </c>
    </row>
    <row r="584" spans="1:4" ht="12.75">
      <c r="A584" s="50">
        <v>2004</v>
      </c>
      <c r="B584" s="50" t="s">
        <v>84</v>
      </c>
      <c r="C584" s="50" t="s">
        <v>87</v>
      </c>
      <c r="D584" s="50">
        <v>193</v>
      </c>
    </row>
    <row r="585" spans="1:4" ht="12.75">
      <c r="A585" s="50">
        <v>2005</v>
      </c>
      <c r="B585" s="50" t="s">
        <v>84</v>
      </c>
      <c r="C585" s="50" t="s">
        <v>87</v>
      </c>
      <c r="D585" s="50">
        <v>223</v>
      </c>
    </row>
    <row r="586" spans="1:4" ht="12.75">
      <c r="A586" s="50">
        <v>2006</v>
      </c>
      <c r="B586" s="50" t="s">
        <v>84</v>
      </c>
      <c r="C586" s="50" t="s">
        <v>87</v>
      </c>
      <c r="D586" s="50">
        <v>205</v>
      </c>
    </row>
    <row r="587" spans="1:4" ht="12.75">
      <c r="A587" s="50">
        <v>2007</v>
      </c>
      <c r="B587" s="50" t="s">
        <v>84</v>
      </c>
      <c r="C587" s="50" t="s">
        <v>87</v>
      </c>
      <c r="D587" s="50">
        <v>270</v>
      </c>
    </row>
    <row r="588" spans="1:4" ht="12.75">
      <c r="A588" s="50">
        <v>2008</v>
      </c>
      <c r="B588" s="50" t="s">
        <v>84</v>
      </c>
      <c r="C588" s="50" t="s">
        <v>87</v>
      </c>
      <c r="D588" s="50">
        <v>302</v>
      </c>
    </row>
    <row r="589" spans="1:4" ht="12.75">
      <c r="A589" s="50">
        <v>2009</v>
      </c>
      <c r="B589" s="50" t="s">
        <v>84</v>
      </c>
      <c r="C589" s="50" t="s">
        <v>87</v>
      </c>
      <c r="D589" s="50">
        <v>260</v>
      </c>
    </row>
    <row r="590" spans="1:4" ht="12.75">
      <c r="A590" s="50">
        <v>2010</v>
      </c>
      <c r="B590" s="50" t="s">
        <v>84</v>
      </c>
      <c r="C590" s="50" t="s">
        <v>87</v>
      </c>
      <c r="D590" s="50">
        <v>314</v>
      </c>
    </row>
    <row r="591" spans="1:4" ht="12.75">
      <c r="A591" s="50">
        <v>2000</v>
      </c>
      <c r="B591" s="50" t="s">
        <v>84</v>
      </c>
      <c r="C591" s="50" t="s">
        <v>88</v>
      </c>
      <c r="D591" s="50">
        <v>287</v>
      </c>
    </row>
    <row r="592" spans="1:4" ht="12.75">
      <c r="A592" s="50">
        <v>2001</v>
      </c>
      <c r="B592" s="50" t="s">
        <v>84</v>
      </c>
      <c r="C592" s="50" t="s">
        <v>88</v>
      </c>
      <c r="D592" s="50">
        <v>272</v>
      </c>
    </row>
    <row r="593" spans="1:4" ht="12.75">
      <c r="A593" s="50">
        <v>2002</v>
      </c>
      <c r="B593" s="50" t="s">
        <v>84</v>
      </c>
      <c r="C593" s="50" t="s">
        <v>88</v>
      </c>
      <c r="D593" s="50">
        <v>267</v>
      </c>
    </row>
    <row r="594" spans="1:4" ht="12.75">
      <c r="A594" s="50">
        <v>2003</v>
      </c>
      <c r="B594" s="50" t="s">
        <v>84</v>
      </c>
      <c r="C594" s="50" t="s">
        <v>88</v>
      </c>
      <c r="D594" s="50">
        <v>253</v>
      </c>
    </row>
    <row r="595" spans="1:4" ht="12.75">
      <c r="A595" s="50">
        <v>2004</v>
      </c>
      <c r="B595" s="50" t="s">
        <v>84</v>
      </c>
      <c r="C595" s="50" t="s">
        <v>88</v>
      </c>
      <c r="D595" s="50">
        <v>268</v>
      </c>
    </row>
    <row r="596" spans="1:4" ht="12.75">
      <c r="A596" s="50">
        <v>2006</v>
      </c>
      <c r="B596" s="50" t="s">
        <v>84</v>
      </c>
      <c r="C596" s="50" t="s">
        <v>88</v>
      </c>
      <c r="D596" s="50">
        <v>276</v>
      </c>
    </row>
    <row r="597" spans="1:4" ht="12.75">
      <c r="A597" s="50">
        <v>2007</v>
      </c>
      <c r="B597" s="50" t="s">
        <v>84</v>
      </c>
      <c r="C597" s="50" t="s">
        <v>88</v>
      </c>
      <c r="D597" s="50">
        <v>282</v>
      </c>
    </row>
    <row r="598" spans="1:4" ht="12.75">
      <c r="A598" s="50">
        <v>2008</v>
      </c>
      <c r="B598" s="50" t="s">
        <v>84</v>
      </c>
      <c r="C598" s="50" t="s">
        <v>88</v>
      </c>
      <c r="D598" s="50">
        <v>274</v>
      </c>
    </row>
    <row r="599" spans="1:4" ht="12.75">
      <c r="A599" s="50">
        <v>2009</v>
      </c>
      <c r="B599" s="50" t="s">
        <v>84</v>
      </c>
      <c r="C599" s="50" t="s">
        <v>88</v>
      </c>
      <c r="D599" s="50">
        <v>244</v>
      </c>
    </row>
    <row r="600" spans="1:4" ht="12.75">
      <c r="A600" s="50">
        <v>2010</v>
      </c>
      <c r="B600" s="50" t="s">
        <v>84</v>
      </c>
      <c r="C600" s="50" t="s">
        <v>88</v>
      </c>
      <c r="D600" s="50">
        <v>271</v>
      </c>
    </row>
    <row r="601" spans="1:4" ht="12.75">
      <c r="A601" s="50">
        <v>2000</v>
      </c>
      <c r="B601" s="50" t="s">
        <v>84</v>
      </c>
      <c r="C601" s="50" t="s">
        <v>89</v>
      </c>
      <c r="D601" s="50">
        <v>147</v>
      </c>
    </row>
    <row r="602" spans="1:4" ht="12.75">
      <c r="A602" s="50">
        <v>2001</v>
      </c>
      <c r="B602" s="50" t="s">
        <v>84</v>
      </c>
      <c r="C602" s="50" t="s">
        <v>89</v>
      </c>
      <c r="D602" s="50">
        <v>149</v>
      </c>
    </row>
    <row r="603" spans="1:4" ht="12.75">
      <c r="A603" s="50">
        <v>2002</v>
      </c>
      <c r="B603" s="50" t="s">
        <v>84</v>
      </c>
      <c r="C603" s="50" t="s">
        <v>89</v>
      </c>
      <c r="D603" s="50">
        <v>137</v>
      </c>
    </row>
    <row r="604" spans="1:4" ht="12.75">
      <c r="A604" s="50">
        <v>2003</v>
      </c>
      <c r="B604" s="50" t="s">
        <v>84</v>
      </c>
      <c r="C604" s="50" t="s">
        <v>89</v>
      </c>
      <c r="D604" s="50">
        <v>141</v>
      </c>
    </row>
    <row r="605" spans="1:4" ht="12.75">
      <c r="A605" s="50">
        <v>2004</v>
      </c>
      <c r="B605" s="50" t="s">
        <v>84</v>
      </c>
      <c r="C605" s="50" t="s">
        <v>89</v>
      </c>
      <c r="D605" s="50">
        <v>166</v>
      </c>
    </row>
    <row r="606" spans="1:4" ht="12.75">
      <c r="A606" s="50">
        <v>2005</v>
      </c>
      <c r="B606" s="50" t="s">
        <v>84</v>
      </c>
      <c r="C606" s="50" t="s">
        <v>89</v>
      </c>
      <c r="D606" s="50">
        <v>151</v>
      </c>
    </row>
    <row r="607" spans="1:4" ht="12.75">
      <c r="A607" s="50">
        <v>2006</v>
      </c>
      <c r="B607" s="50" t="s">
        <v>84</v>
      </c>
      <c r="C607" s="50" t="s">
        <v>89</v>
      </c>
      <c r="D607" s="50">
        <v>171</v>
      </c>
    </row>
    <row r="608" spans="1:4" ht="12.75">
      <c r="A608" s="50">
        <v>2007</v>
      </c>
      <c r="B608" s="50" t="s">
        <v>84</v>
      </c>
      <c r="C608" s="50" t="s">
        <v>89</v>
      </c>
      <c r="D608" s="50">
        <v>195</v>
      </c>
    </row>
    <row r="609" spans="1:4" ht="12.75">
      <c r="A609" s="50">
        <v>2008</v>
      </c>
      <c r="B609" s="50" t="s">
        <v>84</v>
      </c>
      <c r="C609" s="50" t="s">
        <v>89</v>
      </c>
      <c r="D609" s="50">
        <v>207</v>
      </c>
    </row>
    <row r="610" spans="1:4" ht="12.75">
      <c r="A610" s="50">
        <v>2009</v>
      </c>
      <c r="B610" s="50" t="s">
        <v>84</v>
      </c>
      <c r="C610" s="50" t="s">
        <v>89</v>
      </c>
      <c r="D610" s="50">
        <v>165</v>
      </c>
    </row>
    <row r="611" spans="1:4" ht="12.75">
      <c r="A611" s="50">
        <v>2010</v>
      </c>
      <c r="B611" s="50" t="s">
        <v>84</v>
      </c>
      <c r="C611" s="50" t="s">
        <v>89</v>
      </c>
      <c r="D611" s="50">
        <v>719</v>
      </c>
    </row>
    <row r="612" spans="1:4" ht="12.75">
      <c r="A612" s="50">
        <v>2000</v>
      </c>
      <c r="B612" s="50" t="s">
        <v>84</v>
      </c>
      <c r="C612" s="50" t="s">
        <v>90</v>
      </c>
      <c r="D612" s="50">
        <v>214</v>
      </c>
    </row>
    <row r="613" spans="1:4" ht="12.75">
      <c r="A613" s="50">
        <v>2001</v>
      </c>
      <c r="B613" s="50" t="s">
        <v>84</v>
      </c>
      <c r="C613" s="50" t="s">
        <v>90</v>
      </c>
      <c r="D613" s="50">
        <v>199</v>
      </c>
    </row>
    <row r="614" spans="1:4" ht="12.75">
      <c r="A614" s="50">
        <v>2002</v>
      </c>
      <c r="B614" s="50" t="s">
        <v>84</v>
      </c>
      <c r="C614" s="50" t="s">
        <v>90</v>
      </c>
      <c r="D614" s="50">
        <v>224</v>
      </c>
    </row>
    <row r="615" spans="1:4" ht="12.75">
      <c r="A615" s="50">
        <v>2004</v>
      </c>
      <c r="B615" s="50" t="s">
        <v>84</v>
      </c>
      <c r="C615" s="50" t="s">
        <v>90</v>
      </c>
      <c r="D615" s="50">
        <v>182</v>
      </c>
    </row>
    <row r="616" spans="1:4" ht="12.75">
      <c r="A616" s="50">
        <v>2005</v>
      </c>
      <c r="B616" s="50" t="s">
        <v>84</v>
      </c>
      <c r="C616" s="50" t="s">
        <v>90</v>
      </c>
      <c r="D616" s="50">
        <v>155</v>
      </c>
    </row>
    <row r="617" spans="1:4" ht="12.75">
      <c r="A617" s="50">
        <v>2006</v>
      </c>
      <c r="B617" s="50" t="s">
        <v>84</v>
      </c>
      <c r="C617" s="50" t="s">
        <v>90</v>
      </c>
      <c r="D617" s="50">
        <v>212</v>
      </c>
    </row>
    <row r="618" spans="1:4" ht="12.75">
      <c r="A618" s="50">
        <v>2007</v>
      </c>
      <c r="B618" s="50" t="s">
        <v>84</v>
      </c>
      <c r="C618" s="50" t="s">
        <v>90</v>
      </c>
      <c r="D618" s="50">
        <v>203</v>
      </c>
    </row>
    <row r="619" spans="1:4" ht="12.75">
      <c r="A619" s="50">
        <v>2008</v>
      </c>
      <c r="B619" s="50" t="s">
        <v>84</v>
      </c>
      <c r="C619" s="50" t="s">
        <v>90</v>
      </c>
      <c r="D619" s="50">
        <v>227</v>
      </c>
    </row>
    <row r="620" spans="1:4" ht="12.75">
      <c r="A620" s="50">
        <v>2009</v>
      </c>
      <c r="B620" s="50" t="s">
        <v>84</v>
      </c>
      <c r="C620" s="50" t="s">
        <v>90</v>
      </c>
      <c r="D620" s="50">
        <v>148</v>
      </c>
    </row>
    <row r="621" spans="1:4" ht="12.75">
      <c r="A621" s="50">
        <v>2010</v>
      </c>
      <c r="B621" s="50" t="s">
        <v>84</v>
      </c>
      <c r="C621" s="50" t="s">
        <v>90</v>
      </c>
      <c r="D621" s="50">
        <v>212</v>
      </c>
    </row>
    <row r="622" spans="1:4" ht="12.75">
      <c r="A622" s="50">
        <v>2000</v>
      </c>
      <c r="B622" s="50" t="s">
        <v>84</v>
      </c>
      <c r="C622" s="50" t="s">
        <v>91</v>
      </c>
      <c r="D622" s="50">
        <v>414</v>
      </c>
    </row>
    <row r="623" spans="1:4" ht="12.75">
      <c r="A623" s="50">
        <v>2001</v>
      </c>
      <c r="B623" s="50" t="s">
        <v>84</v>
      </c>
      <c r="C623" s="50" t="s">
        <v>91</v>
      </c>
      <c r="D623" s="50">
        <v>422</v>
      </c>
    </row>
    <row r="624" spans="1:4" ht="12.75">
      <c r="A624" s="50">
        <v>2002</v>
      </c>
      <c r="B624" s="50" t="s">
        <v>84</v>
      </c>
      <c r="C624" s="50" t="s">
        <v>91</v>
      </c>
      <c r="D624" s="50">
        <v>476</v>
      </c>
    </row>
    <row r="625" spans="1:4" ht="12.75">
      <c r="A625" s="50">
        <v>2003</v>
      </c>
      <c r="B625" s="50" t="s">
        <v>84</v>
      </c>
      <c r="C625" s="50" t="s">
        <v>91</v>
      </c>
      <c r="D625" s="50">
        <v>496</v>
      </c>
    </row>
    <row r="626" spans="1:4" ht="12.75">
      <c r="A626" s="50">
        <v>2004</v>
      </c>
      <c r="B626" s="50" t="s">
        <v>84</v>
      </c>
      <c r="C626" s="50" t="s">
        <v>91</v>
      </c>
      <c r="D626" s="50">
        <v>479</v>
      </c>
    </row>
    <row r="627" spans="1:4" ht="12.75">
      <c r="A627" s="50">
        <v>2005</v>
      </c>
      <c r="B627" s="50" t="s">
        <v>84</v>
      </c>
      <c r="C627" s="50" t="s">
        <v>91</v>
      </c>
      <c r="D627" s="50">
        <v>489</v>
      </c>
    </row>
    <row r="628" spans="1:4" ht="12.75">
      <c r="A628" s="50">
        <v>2006</v>
      </c>
      <c r="B628" s="50" t="s">
        <v>84</v>
      </c>
      <c r="C628" s="50" t="s">
        <v>91</v>
      </c>
      <c r="D628" s="50">
        <v>526</v>
      </c>
    </row>
    <row r="629" spans="1:4" ht="12.75">
      <c r="A629" s="50">
        <v>2007</v>
      </c>
      <c r="B629" s="50" t="s">
        <v>84</v>
      </c>
      <c r="C629" s="50" t="s">
        <v>91</v>
      </c>
      <c r="D629" s="50">
        <v>540</v>
      </c>
    </row>
    <row r="630" spans="1:4" ht="12.75">
      <c r="A630" s="50">
        <v>2008</v>
      </c>
      <c r="B630" s="50" t="s">
        <v>84</v>
      </c>
      <c r="C630" s="50" t="s">
        <v>91</v>
      </c>
      <c r="D630" s="50">
        <v>484</v>
      </c>
    </row>
    <row r="631" spans="1:4" ht="12.75">
      <c r="A631" s="50">
        <v>2009</v>
      </c>
      <c r="B631" s="50" t="s">
        <v>84</v>
      </c>
      <c r="C631" s="50" t="s">
        <v>91</v>
      </c>
      <c r="D631" s="50">
        <v>556</v>
      </c>
    </row>
    <row r="632" spans="1:4" ht="12.75">
      <c r="A632" s="50">
        <v>2010</v>
      </c>
      <c r="B632" s="50" t="s">
        <v>84</v>
      </c>
      <c r="C632" s="50" t="s">
        <v>91</v>
      </c>
      <c r="D632" s="50">
        <v>581</v>
      </c>
    </row>
    <row r="633" spans="1:4" ht="12.75">
      <c r="A633" s="50">
        <v>2000</v>
      </c>
      <c r="B633" s="50" t="s">
        <v>84</v>
      </c>
      <c r="C633" s="50" t="s">
        <v>92</v>
      </c>
      <c r="D633" s="50">
        <v>453</v>
      </c>
    </row>
    <row r="634" spans="1:4" ht="12.75">
      <c r="A634" s="50">
        <v>2001</v>
      </c>
      <c r="B634" s="50" t="s">
        <v>84</v>
      </c>
      <c r="C634" s="50" t="s">
        <v>92</v>
      </c>
      <c r="D634" s="50">
        <v>402</v>
      </c>
    </row>
    <row r="635" spans="1:4" ht="12.75">
      <c r="A635" s="50">
        <v>2002</v>
      </c>
      <c r="B635" s="50" t="s">
        <v>84</v>
      </c>
      <c r="C635" s="50" t="s">
        <v>92</v>
      </c>
      <c r="D635" s="50">
        <v>442</v>
      </c>
    </row>
    <row r="636" spans="1:4" ht="12.75">
      <c r="A636" s="50">
        <v>2003</v>
      </c>
      <c r="B636" s="50" t="s">
        <v>84</v>
      </c>
      <c r="C636" s="50" t="s">
        <v>92</v>
      </c>
      <c r="D636" s="50">
        <v>440</v>
      </c>
    </row>
    <row r="637" spans="1:4" ht="12.75">
      <c r="A637" s="50">
        <v>2004</v>
      </c>
      <c r="B637" s="50" t="s">
        <v>84</v>
      </c>
      <c r="C637" s="50" t="s">
        <v>92</v>
      </c>
      <c r="D637" s="50">
        <v>423</v>
      </c>
    </row>
    <row r="638" spans="1:4" ht="12.75">
      <c r="A638" s="50">
        <v>2005</v>
      </c>
      <c r="B638" s="50" t="s">
        <v>84</v>
      </c>
      <c r="C638" s="50" t="s">
        <v>92</v>
      </c>
      <c r="D638" s="50">
        <v>423</v>
      </c>
    </row>
    <row r="639" spans="1:4" ht="12.75">
      <c r="A639" s="50">
        <v>2006</v>
      </c>
      <c r="B639" s="50" t="s">
        <v>84</v>
      </c>
      <c r="C639" s="50" t="s">
        <v>92</v>
      </c>
      <c r="D639" s="50">
        <v>367</v>
      </c>
    </row>
    <row r="640" spans="1:4" ht="12.75">
      <c r="A640" s="50">
        <v>2007</v>
      </c>
      <c r="B640" s="50" t="s">
        <v>84</v>
      </c>
      <c r="C640" s="50" t="s">
        <v>92</v>
      </c>
      <c r="D640" s="50">
        <v>337</v>
      </c>
    </row>
    <row r="641" spans="1:4" ht="12.75">
      <c r="A641" s="50">
        <v>2008</v>
      </c>
      <c r="B641" s="50" t="s">
        <v>84</v>
      </c>
      <c r="C641" s="50" t="s">
        <v>92</v>
      </c>
      <c r="D641" s="50">
        <v>338</v>
      </c>
    </row>
    <row r="642" spans="1:4" ht="12.75">
      <c r="A642" s="50">
        <v>2009</v>
      </c>
      <c r="B642" s="50" t="s">
        <v>84</v>
      </c>
      <c r="C642" s="50" t="s">
        <v>92</v>
      </c>
      <c r="D642" s="50">
        <v>431</v>
      </c>
    </row>
    <row r="643" spans="1:4" ht="12.75">
      <c r="A643" s="50">
        <v>2010</v>
      </c>
      <c r="B643" s="50" t="s">
        <v>84</v>
      </c>
      <c r="C643" s="50" t="s">
        <v>92</v>
      </c>
      <c r="D643" s="50">
        <v>399</v>
      </c>
    </row>
    <row r="644" spans="1:4" ht="12.75">
      <c r="A644" s="50">
        <v>2000</v>
      </c>
      <c r="B644" s="50" t="s">
        <v>84</v>
      </c>
      <c r="C644" s="50" t="s">
        <v>93</v>
      </c>
      <c r="D644" s="50">
        <v>164</v>
      </c>
    </row>
    <row r="645" spans="1:4" ht="12.75">
      <c r="A645" s="50">
        <v>2001</v>
      </c>
      <c r="B645" s="50" t="s">
        <v>84</v>
      </c>
      <c r="C645" s="50" t="s">
        <v>93</v>
      </c>
      <c r="D645" s="50">
        <v>154</v>
      </c>
    </row>
    <row r="646" spans="1:4" ht="12.75">
      <c r="A646" s="50">
        <v>2002</v>
      </c>
      <c r="B646" s="50" t="s">
        <v>84</v>
      </c>
      <c r="C646" s="50" t="s">
        <v>93</v>
      </c>
      <c r="D646" s="50">
        <v>183</v>
      </c>
    </row>
    <row r="647" spans="1:4" ht="12.75">
      <c r="A647" s="50">
        <v>2003</v>
      </c>
      <c r="B647" s="50" t="s">
        <v>84</v>
      </c>
      <c r="C647" s="50" t="s">
        <v>93</v>
      </c>
      <c r="D647" s="50">
        <v>194</v>
      </c>
    </row>
    <row r="648" spans="1:4" ht="12.75">
      <c r="A648" s="50">
        <v>2004</v>
      </c>
      <c r="B648" s="50" t="s">
        <v>84</v>
      </c>
      <c r="C648" s="50" t="s">
        <v>93</v>
      </c>
      <c r="D648" s="50">
        <v>190</v>
      </c>
    </row>
    <row r="649" spans="1:4" ht="12.75">
      <c r="A649" s="50">
        <v>2005</v>
      </c>
      <c r="B649" s="50" t="s">
        <v>84</v>
      </c>
      <c r="C649" s="50" t="s">
        <v>93</v>
      </c>
      <c r="D649" s="50">
        <v>187</v>
      </c>
    </row>
    <row r="650" spans="1:4" ht="12.75">
      <c r="A650" s="50">
        <v>2006</v>
      </c>
      <c r="B650" s="50" t="s">
        <v>84</v>
      </c>
      <c r="C650" s="50" t="s">
        <v>93</v>
      </c>
      <c r="D650" s="50">
        <v>189</v>
      </c>
    </row>
    <row r="651" spans="1:4" ht="12.75">
      <c r="A651" s="50">
        <v>2007</v>
      </c>
      <c r="B651" s="50" t="s">
        <v>84</v>
      </c>
      <c r="C651" s="50" t="s">
        <v>93</v>
      </c>
      <c r="D651" s="50">
        <v>193</v>
      </c>
    </row>
    <row r="652" spans="1:4" ht="12.75">
      <c r="A652" s="50">
        <v>2008</v>
      </c>
      <c r="B652" s="50" t="s">
        <v>84</v>
      </c>
      <c r="C652" s="50" t="s">
        <v>93</v>
      </c>
      <c r="D652" s="50">
        <v>190</v>
      </c>
    </row>
    <row r="653" spans="1:4" ht="12.75">
      <c r="A653" s="50">
        <v>2009</v>
      </c>
      <c r="B653" s="50" t="s">
        <v>84</v>
      </c>
      <c r="C653" s="50" t="s">
        <v>93</v>
      </c>
      <c r="D653" s="50">
        <v>174</v>
      </c>
    </row>
    <row r="654" spans="1:4" ht="12.75">
      <c r="A654" s="50">
        <v>2010</v>
      </c>
      <c r="B654" s="50" t="s">
        <v>84</v>
      </c>
      <c r="C654" s="50" t="s">
        <v>93</v>
      </c>
      <c r="D654" s="50">
        <v>151</v>
      </c>
    </row>
    <row r="655" spans="1:4" ht="12.75">
      <c r="A655" s="50">
        <v>2000</v>
      </c>
      <c r="B655" s="50" t="s">
        <v>84</v>
      </c>
      <c r="C655" s="50" t="s">
        <v>94</v>
      </c>
      <c r="D655" s="50">
        <v>143</v>
      </c>
    </row>
    <row r="656" spans="1:4" ht="12.75">
      <c r="A656" s="50">
        <v>2001</v>
      </c>
      <c r="B656" s="50" t="s">
        <v>84</v>
      </c>
      <c r="C656" s="50" t="s">
        <v>94</v>
      </c>
      <c r="D656" s="50">
        <v>165</v>
      </c>
    </row>
    <row r="657" spans="1:4" ht="12.75">
      <c r="A657" s="50">
        <v>2002</v>
      </c>
      <c r="B657" s="50" t="s">
        <v>84</v>
      </c>
      <c r="C657" s="50" t="s">
        <v>94</v>
      </c>
      <c r="D657" s="50">
        <v>170</v>
      </c>
    </row>
    <row r="658" spans="1:4" ht="12.75">
      <c r="A658" s="50">
        <v>2003</v>
      </c>
      <c r="B658" s="50" t="s">
        <v>84</v>
      </c>
      <c r="C658" s="50" t="s">
        <v>94</v>
      </c>
      <c r="D658" s="50">
        <v>154</v>
      </c>
    </row>
    <row r="659" spans="1:4" ht="12.75">
      <c r="A659" s="50">
        <v>2004</v>
      </c>
      <c r="B659" s="50" t="s">
        <v>84</v>
      </c>
      <c r="C659" s="50" t="s">
        <v>94</v>
      </c>
      <c r="D659" s="50">
        <v>166</v>
      </c>
    </row>
    <row r="660" spans="1:4" ht="12.75">
      <c r="A660" s="50">
        <v>2005</v>
      </c>
      <c r="B660" s="50" t="s">
        <v>84</v>
      </c>
      <c r="C660" s="50" t="s">
        <v>94</v>
      </c>
      <c r="D660" s="50">
        <v>137</v>
      </c>
    </row>
    <row r="661" spans="1:4" ht="12.75">
      <c r="A661" s="50">
        <v>2006</v>
      </c>
      <c r="B661" s="50" t="s">
        <v>84</v>
      </c>
      <c r="C661" s="50" t="s">
        <v>94</v>
      </c>
      <c r="D661" s="50">
        <v>131</v>
      </c>
    </row>
    <row r="662" spans="1:4" ht="12.75">
      <c r="A662" s="50">
        <v>2007</v>
      </c>
      <c r="B662" s="50" t="s">
        <v>84</v>
      </c>
      <c r="C662" s="50" t="s">
        <v>94</v>
      </c>
      <c r="D662" s="50">
        <v>143</v>
      </c>
    </row>
    <row r="663" spans="1:4" ht="12.75">
      <c r="A663" s="50">
        <v>2008</v>
      </c>
      <c r="B663" s="50" t="s">
        <v>84</v>
      </c>
      <c r="C663" s="50" t="s">
        <v>94</v>
      </c>
      <c r="D663" s="50">
        <v>196</v>
      </c>
    </row>
    <row r="664" spans="1:4" ht="12.75">
      <c r="A664" s="50">
        <v>2009</v>
      </c>
      <c r="B664" s="50" t="s">
        <v>84</v>
      </c>
      <c r="C664" s="50" t="s">
        <v>94</v>
      </c>
      <c r="D664" s="50">
        <v>183</v>
      </c>
    </row>
    <row r="665" spans="1:4" ht="12.75">
      <c r="A665" s="50">
        <v>2010</v>
      </c>
      <c r="B665" s="50" t="s">
        <v>84</v>
      </c>
      <c r="C665" s="50" t="s">
        <v>94</v>
      </c>
      <c r="D665" s="50">
        <v>169</v>
      </c>
    </row>
    <row r="666" spans="1:4" ht="12.75">
      <c r="A666" s="50">
        <v>2000</v>
      </c>
      <c r="B666" s="50" t="s">
        <v>84</v>
      </c>
      <c r="C666" s="50" t="s">
        <v>95</v>
      </c>
      <c r="D666" s="50">
        <v>780</v>
      </c>
    </row>
    <row r="667" spans="1:4" ht="12.75">
      <c r="A667" s="50">
        <v>2001</v>
      </c>
      <c r="B667" s="50" t="s">
        <v>84</v>
      </c>
      <c r="C667" s="50" t="s">
        <v>95</v>
      </c>
      <c r="D667" s="50">
        <v>567</v>
      </c>
    </row>
    <row r="668" spans="1:4" ht="12.75">
      <c r="A668" s="50">
        <v>2002</v>
      </c>
      <c r="B668" s="50" t="s">
        <v>84</v>
      </c>
      <c r="C668" s="50" t="s">
        <v>95</v>
      </c>
      <c r="D668" s="50">
        <v>674</v>
      </c>
    </row>
    <row r="669" spans="1:4" ht="12.75">
      <c r="A669" s="50">
        <v>2003</v>
      </c>
      <c r="B669" s="50" t="s">
        <v>84</v>
      </c>
      <c r="C669" s="50" t="s">
        <v>95</v>
      </c>
      <c r="D669" s="50">
        <v>781</v>
      </c>
    </row>
    <row r="670" spans="1:4" ht="12.75">
      <c r="A670" s="50">
        <v>2004</v>
      </c>
      <c r="B670" s="50" t="s">
        <v>84</v>
      </c>
      <c r="C670" s="50" t="s">
        <v>95</v>
      </c>
      <c r="D670" s="50">
        <v>917</v>
      </c>
    </row>
    <row r="671" spans="1:4" ht="12.75">
      <c r="A671" s="50">
        <v>2005</v>
      </c>
      <c r="B671" s="50" t="s">
        <v>84</v>
      </c>
      <c r="C671" s="50" t="s">
        <v>95</v>
      </c>
      <c r="D671" s="50">
        <v>820</v>
      </c>
    </row>
    <row r="672" spans="1:4" ht="12.75">
      <c r="A672" s="50">
        <v>2006</v>
      </c>
      <c r="B672" s="50" t="s">
        <v>84</v>
      </c>
      <c r="C672" s="50" t="s">
        <v>95</v>
      </c>
      <c r="D672" s="50">
        <v>934</v>
      </c>
    </row>
    <row r="673" spans="1:4" ht="12.75">
      <c r="A673" s="50">
        <v>2007</v>
      </c>
      <c r="B673" s="50" t="s">
        <v>84</v>
      </c>
      <c r="C673" s="50" t="s">
        <v>95</v>
      </c>
      <c r="D673" s="50">
        <v>881</v>
      </c>
    </row>
    <row r="674" spans="1:4" ht="12.75">
      <c r="A674" s="50">
        <v>2008</v>
      </c>
      <c r="B674" s="50" t="s">
        <v>84</v>
      </c>
      <c r="C674" s="50" t="s">
        <v>95</v>
      </c>
      <c r="D674" s="50">
        <v>1092</v>
      </c>
    </row>
    <row r="675" spans="1:4" ht="12.75">
      <c r="A675" s="50">
        <v>2009</v>
      </c>
      <c r="B675" s="50" t="s">
        <v>84</v>
      </c>
      <c r="C675" s="50" t="s">
        <v>95</v>
      </c>
      <c r="D675" s="50">
        <v>1104</v>
      </c>
    </row>
    <row r="676" spans="1:4" ht="12.75">
      <c r="A676" s="50">
        <v>2010</v>
      </c>
      <c r="B676" s="50" t="s">
        <v>84</v>
      </c>
      <c r="C676" s="50" t="s">
        <v>95</v>
      </c>
      <c r="D676" s="50">
        <v>1034</v>
      </c>
    </row>
    <row r="677" spans="1:4" ht="12.75">
      <c r="A677" s="50">
        <v>2000</v>
      </c>
      <c r="B677" s="50" t="s">
        <v>84</v>
      </c>
      <c r="C677" s="50" t="s">
        <v>96</v>
      </c>
      <c r="D677" s="50">
        <v>231</v>
      </c>
    </row>
    <row r="678" spans="1:4" ht="12.75">
      <c r="A678" s="50">
        <v>2001</v>
      </c>
      <c r="B678" s="50" t="s">
        <v>84</v>
      </c>
      <c r="C678" s="50" t="s">
        <v>96</v>
      </c>
      <c r="D678" s="50">
        <v>247</v>
      </c>
    </row>
    <row r="679" spans="1:4" ht="12.75">
      <c r="A679" s="50">
        <v>2002</v>
      </c>
      <c r="B679" s="50" t="s">
        <v>84</v>
      </c>
      <c r="C679" s="50" t="s">
        <v>96</v>
      </c>
      <c r="D679" s="50">
        <v>280</v>
      </c>
    </row>
    <row r="680" spans="1:4" ht="12.75">
      <c r="A680" s="50">
        <v>2003</v>
      </c>
      <c r="B680" s="50" t="s">
        <v>84</v>
      </c>
      <c r="C680" s="50" t="s">
        <v>96</v>
      </c>
      <c r="D680" s="50">
        <v>318</v>
      </c>
    </row>
    <row r="681" spans="1:4" ht="12.75">
      <c r="A681" s="50">
        <v>2004</v>
      </c>
      <c r="B681" s="50" t="s">
        <v>84</v>
      </c>
      <c r="C681" s="50" t="s">
        <v>96</v>
      </c>
      <c r="D681" s="50">
        <v>313</v>
      </c>
    </row>
    <row r="682" spans="1:4" ht="12.75">
      <c r="A682" s="50">
        <v>2005</v>
      </c>
      <c r="B682" s="50" t="s">
        <v>84</v>
      </c>
      <c r="C682" s="50" t="s">
        <v>96</v>
      </c>
      <c r="D682" s="50">
        <v>322</v>
      </c>
    </row>
    <row r="683" spans="1:4" ht="12.75">
      <c r="A683" s="50">
        <v>2006</v>
      </c>
      <c r="B683" s="50" t="s">
        <v>84</v>
      </c>
      <c r="C683" s="50" t="s">
        <v>96</v>
      </c>
      <c r="D683" s="50">
        <v>290</v>
      </c>
    </row>
    <row r="684" spans="1:4" ht="12.75">
      <c r="A684" s="50">
        <v>2007</v>
      </c>
      <c r="B684" s="50" t="s">
        <v>84</v>
      </c>
      <c r="C684" s="50" t="s">
        <v>96</v>
      </c>
      <c r="D684" s="50">
        <v>294</v>
      </c>
    </row>
    <row r="685" spans="1:4" ht="12.75">
      <c r="A685" s="50">
        <v>2008</v>
      </c>
      <c r="B685" s="50" t="s">
        <v>84</v>
      </c>
      <c r="C685" s="50" t="s">
        <v>96</v>
      </c>
      <c r="D685" s="50">
        <v>316</v>
      </c>
    </row>
    <row r="686" spans="1:4" ht="12.75">
      <c r="A686" s="50">
        <v>2009</v>
      </c>
      <c r="B686" s="50" t="s">
        <v>84</v>
      </c>
      <c r="C686" s="50" t="s">
        <v>96</v>
      </c>
      <c r="D686" s="50">
        <v>340</v>
      </c>
    </row>
    <row r="687" spans="1:4" ht="12.75">
      <c r="A687" s="50">
        <v>2010</v>
      </c>
      <c r="B687" s="50" t="s">
        <v>84</v>
      </c>
      <c r="C687" s="50" t="s">
        <v>96</v>
      </c>
      <c r="D687" s="50">
        <v>338</v>
      </c>
    </row>
    <row r="688" spans="1:4" ht="12.75">
      <c r="A688" s="50">
        <v>2000</v>
      </c>
      <c r="B688" s="50" t="s">
        <v>84</v>
      </c>
      <c r="C688" s="50" t="s">
        <v>97</v>
      </c>
      <c r="D688" s="50">
        <v>161</v>
      </c>
    </row>
    <row r="689" spans="1:4" ht="12.75">
      <c r="A689" s="50">
        <v>2001</v>
      </c>
      <c r="B689" s="50" t="s">
        <v>84</v>
      </c>
      <c r="C689" s="50" t="s">
        <v>97</v>
      </c>
      <c r="D689" s="50">
        <v>170</v>
      </c>
    </row>
    <row r="690" spans="1:4" ht="12.75">
      <c r="A690" s="50">
        <v>2002</v>
      </c>
      <c r="B690" s="50" t="s">
        <v>84</v>
      </c>
      <c r="C690" s="50" t="s">
        <v>97</v>
      </c>
      <c r="D690" s="50">
        <v>150</v>
      </c>
    </row>
    <row r="691" spans="1:4" ht="12.75">
      <c r="A691" s="50">
        <v>2003</v>
      </c>
      <c r="B691" s="50" t="s">
        <v>84</v>
      </c>
      <c r="C691" s="50" t="s">
        <v>97</v>
      </c>
      <c r="D691" s="50">
        <v>194</v>
      </c>
    </row>
    <row r="692" spans="1:4" ht="12.75">
      <c r="A692" s="50">
        <v>2004</v>
      </c>
      <c r="B692" s="50" t="s">
        <v>84</v>
      </c>
      <c r="C692" s="50" t="s">
        <v>97</v>
      </c>
      <c r="D692" s="50">
        <v>220</v>
      </c>
    </row>
    <row r="693" spans="1:4" ht="12.75">
      <c r="A693" s="50">
        <v>2005</v>
      </c>
      <c r="B693" s="50" t="s">
        <v>84</v>
      </c>
      <c r="C693" s="50" t="s">
        <v>97</v>
      </c>
      <c r="D693" s="50">
        <v>204</v>
      </c>
    </row>
    <row r="694" spans="1:4" ht="12.75">
      <c r="A694" s="50">
        <v>2006</v>
      </c>
      <c r="B694" s="50" t="s">
        <v>84</v>
      </c>
      <c r="C694" s="50" t="s">
        <v>97</v>
      </c>
      <c r="D694" s="50">
        <v>186</v>
      </c>
    </row>
    <row r="695" spans="1:4" ht="12.75">
      <c r="A695" s="50">
        <v>2007</v>
      </c>
      <c r="B695" s="50" t="s">
        <v>84</v>
      </c>
      <c r="C695" s="50" t="s">
        <v>97</v>
      </c>
      <c r="D695" s="50">
        <v>178</v>
      </c>
    </row>
    <row r="696" spans="1:4" ht="12.75">
      <c r="A696" s="50">
        <v>2008</v>
      </c>
      <c r="B696" s="50" t="s">
        <v>84</v>
      </c>
      <c r="C696" s="50" t="s">
        <v>97</v>
      </c>
      <c r="D696" s="50">
        <v>199</v>
      </c>
    </row>
    <row r="697" spans="1:4" ht="12.75">
      <c r="A697" s="50">
        <v>2009</v>
      </c>
      <c r="B697" s="50" t="s">
        <v>84</v>
      </c>
      <c r="C697" s="50" t="s">
        <v>97</v>
      </c>
      <c r="D697" s="50">
        <v>218</v>
      </c>
    </row>
    <row r="698" spans="1:4" ht="12.75">
      <c r="A698" s="50">
        <v>2010</v>
      </c>
      <c r="B698" s="50" t="s">
        <v>84</v>
      </c>
      <c r="C698" s="50" t="s">
        <v>97</v>
      </c>
      <c r="D698" s="50">
        <v>207</v>
      </c>
    </row>
    <row r="699" spans="1:4" ht="12.75">
      <c r="A699" s="50">
        <v>2000</v>
      </c>
      <c r="B699" s="50" t="s">
        <v>84</v>
      </c>
      <c r="C699" s="50" t="s">
        <v>98</v>
      </c>
      <c r="D699" s="50">
        <v>430</v>
      </c>
    </row>
    <row r="700" spans="1:4" ht="12.75">
      <c r="A700" s="50">
        <v>2001</v>
      </c>
      <c r="B700" s="50" t="s">
        <v>84</v>
      </c>
      <c r="C700" s="50" t="s">
        <v>98</v>
      </c>
      <c r="D700" s="50">
        <v>408</v>
      </c>
    </row>
    <row r="701" spans="1:4" ht="12.75">
      <c r="A701" s="50">
        <v>2002</v>
      </c>
      <c r="B701" s="50" t="s">
        <v>84</v>
      </c>
      <c r="C701" s="50" t="s">
        <v>98</v>
      </c>
      <c r="D701" s="50">
        <v>426</v>
      </c>
    </row>
    <row r="702" spans="1:4" ht="12.75">
      <c r="A702" s="50">
        <v>2003</v>
      </c>
      <c r="B702" s="50" t="s">
        <v>84</v>
      </c>
      <c r="C702" s="50" t="s">
        <v>98</v>
      </c>
      <c r="D702" s="50">
        <v>401</v>
      </c>
    </row>
    <row r="703" spans="1:4" ht="12.75">
      <c r="A703" s="50">
        <v>2004</v>
      </c>
      <c r="B703" s="50" t="s">
        <v>84</v>
      </c>
      <c r="C703" s="50" t="s">
        <v>98</v>
      </c>
      <c r="D703" s="50">
        <v>376</v>
      </c>
    </row>
    <row r="704" spans="1:4" ht="12.75">
      <c r="A704" s="50">
        <v>2005</v>
      </c>
      <c r="B704" s="50" t="s">
        <v>84</v>
      </c>
      <c r="C704" s="50" t="s">
        <v>98</v>
      </c>
      <c r="D704" s="50">
        <v>359</v>
      </c>
    </row>
    <row r="705" spans="1:4" ht="12.75">
      <c r="A705" s="50">
        <v>2006</v>
      </c>
      <c r="B705" s="50" t="s">
        <v>84</v>
      </c>
      <c r="C705" s="50" t="s">
        <v>98</v>
      </c>
      <c r="D705" s="50">
        <v>375</v>
      </c>
    </row>
    <row r="706" spans="1:4" ht="12.75">
      <c r="A706" s="50">
        <v>2007</v>
      </c>
      <c r="B706" s="50" t="s">
        <v>84</v>
      </c>
      <c r="C706" s="50" t="s">
        <v>98</v>
      </c>
      <c r="D706" s="50">
        <v>441</v>
      </c>
    </row>
    <row r="707" spans="1:4" ht="12.75">
      <c r="A707" s="50">
        <v>2008</v>
      </c>
      <c r="B707" s="50" t="s">
        <v>84</v>
      </c>
      <c r="C707" s="50" t="s">
        <v>98</v>
      </c>
      <c r="D707" s="50">
        <v>419</v>
      </c>
    </row>
    <row r="708" spans="1:4" ht="12.75">
      <c r="A708" s="50">
        <v>2009</v>
      </c>
      <c r="B708" s="50" t="s">
        <v>84</v>
      </c>
      <c r="C708" s="50" t="s">
        <v>98</v>
      </c>
      <c r="D708" s="50">
        <v>428</v>
      </c>
    </row>
    <row r="709" spans="1:4" ht="12.75">
      <c r="A709" s="50">
        <v>2010</v>
      </c>
      <c r="B709" s="50" t="s">
        <v>84</v>
      </c>
      <c r="C709" s="50" t="s">
        <v>98</v>
      </c>
      <c r="D709" s="50">
        <v>424</v>
      </c>
    </row>
    <row r="710" spans="1:4" ht="12.75">
      <c r="A710" s="50">
        <v>2000</v>
      </c>
      <c r="B710" s="50" t="s">
        <v>84</v>
      </c>
      <c r="C710" s="50" t="s">
        <v>99</v>
      </c>
      <c r="D710" s="50">
        <v>148</v>
      </c>
    </row>
    <row r="711" spans="1:4" ht="12.75">
      <c r="A711" s="50">
        <v>2001</v>
      </c>
      <c r="B711" s="50" t="s">
        <v>84</v>
      </c>
      <c r="C711" s="50" t="s">
        <v>99</v>
      </c>
      <c r="D711" s="50">
        <v>132</v>
      </c>
    </row>
    <row r="712" spans="1:4" ht="12.75">
      <c r="A712" s="50">
        <v>2002</v>
      </c>
      <c r="B712" s="50" t="s">
        <v>84</v>
      </c>
      <c r="C712" s="50" t="s">
        <v>99</v>
      </c>
      <c r="D712" s="50">
        <v>149</v>
      </c>
    </row>
    <row r="713" spans="1:4" ht="12.75">
      <c r="A713" s="50">
        <v>2003</v>
      </c>
      <c r="B713" s="50" t="s">
        <v>84</v>
      </c>
      <c r="C713" s="50" t="s">
        <v>99</v>
      </c>
      <c r="D713" s="50">
        <v>94</v>
      </c>
    </row>
    <row r="714" spans="1:4" ht="12.75">
      <c r="A714" s="50">
        <v>2004</v>
      </c>
      <c r="B714" s="50" t="s">
        <v>84</v>
      </c>
      <c r="C714" s="50" t="s">
        <v>99</v>
      </c>
      <c r="D714" s="50">
        <v>116</v>
      </c>
    </row>
    <row r="715" spans="1:4" ht="12.75">
      <c r="A715" s="50">
        <v>2005</v>
      </c>
      <c r="B715" s="50" t="s">
        <v>84</v>
      </c>
      <c r="C715" s="50" t="s">
        <v>99</v>
      </c>
      <c r="D715" s="50">
        <v>131</v>
      </c>
    </row>
    <row r="716" spans="1:4" ht="12.75">
      <c r="A716" s="50">
        <v>2006</v>
      </c>
      <c r="B716" s="50" t="s">
        <v>84</v>
      </c>
      <c r="C716" s="50" t="s">
        <v>99</v>
      </c>
      <c r="D716" s="50">
        <v>188</v>
      </c>
    </row>
    <row r="717" spans="1:4" ht="12.75">
      <c r="A717" s="50">
        <v>2007</v>
      </c>
      <c r="B717" s="50" t="s">
        <v>84</v>
      </c>
      <c r="C717" s="50" t="s">
        <v>99</v>
      </c>
      <c r="D717" s="50">
        <v>167</v>
      </c>
    </row>
    <row r="718" spans="1:4" ht="12.75">
      <c r="A718" s="50">
        <v>2008</v>
      </c>
      <c r="B718" s="50" t="s">
        <v>84</v>
      </c>
      <c r="C718" s="50" t="s">
        <v>99</v>
      </c>
      <c r="D718" s="50">
        <v>252</v>
      </c>
    </row>
    <row r="719" spans="1:4" ht="12.75">
      <c r="A719" s="50">
        <v>2009</v>
      </c>
      <c r="B719" s="50" t="s">
        <v>84</v>
      </c>
      <c r="C719" s="50" t="s">
        <v>99</v>
      </c>
      <c r="D719" s="50">
        <v>202</v>
      </c>
    </row>
    <row r="720" spans="1:4" ht="12.75">
      <c r="A720" s="50">
        <v>2010</v>
      </c>
      <c r="B720" s="50" t="s">
        <v>84</v>
      </c>
      <c r="C720" s="50" t="s">
        <v>99</v>
      </c>
      <c r="D720" s="50">
        <v>149</v>
      </c>
    </row>
    <row r="721" spans="1:4" ht="12.75">
      <c r="A721" s="50">
        <v>2000</v>
      </c>
      <c r="B721" s="50" t="s">
        <v>84</v>
      </c>
      <c r="C721" s="50" t="s">
        <v>100</v>
      </c>
      <c r="D721" s="50">
        <v>270</v>
      </c>
    </row>
    <row r="722" spans="1:4" ht="12.75">
      <c r="A722" s="50">
        <v>2001</v>
      </c>
      <c r="B722" s="50" t="s">
        <v>84</v>
      </c>
      <c r="C722" s="50" t="s">
        <v>100</v>
      </c>
      <c r="D722" s="50">
        <v>295</v>
      </c>
    </row>
    <row r="723" spans="1:4" ht="12.75">
      <c r="A723" s="50">
        <v>2002</v>
      </c>
      <c r="B723" s="50" t="s">
        <v>84</v>
      </c>
      <c r="C723" s="50" t="s">
        <v>100</v>
      </c>
      <c r="D723" s="50">
        <v>213</v>
      </c>
    </row>
    <row r="724" spans="1:4" ht="12.75">
      <c r="A724" s="50">
        <v>2003</v>
      </c>
      <c r="B724" s="50" t="s">
        <v>84</v>
      </c>
      <c r="C724" s="50" t="s">
        <v>100</v>
      </c>
      <c r="D724" s="50">
        <v>244</v>
      </c>
    </row>
    <row r="725" spans="1:4" ht="12.75">
      <c r="A725" s="50">
        <v>2004</v>
      </c>
      <c r="B725" s="50" t="s">
        <v>84</v>
      </c>
      <c r="C725" s="50" t="s">
        <v>100</v>
      </c>
      <c r="D725" s="50">
        <v>305</v>
      </c>
    </row>
    <row r="726" spans="1:4" ht="12.75">
      <c r="A726" s="50">
        <v>2005</v>
      </c>
      <c r="B726" s="50" t="s">
        <v>84</v>
      </c>
      <c r="C726" s="50" t="s">
        <v>100</v>
      </c>
      <c r="D726" s="50">
        <v>370</v>
      </c>
    </row>
    <row r="727" spans="1:4" ht="12.75">
      <c r="A727" s="50">
        <v>2006</v>
      </c>
      <c r="B727" s="50" t="s">
        <v>84</v>
      </c>
      <c r="C727" s="50" t="s">
        <v>100</v>
      </c>
      <c r="D727" s="50">
        <v>396</v>
      </c>
    </row>
    <row r="728" spans="1:4" ht="12.75">
      <c r="A728" s="50">
        <v>2007</v>
      </c>
      <c r="B728" s="50" t="s">
        <v>84</v>
      </c>
      <c r="C728" s="50" t="s">
        <v>100</v>
      </c>
      <c r="D728" s="50">
        <v>367</v>
      </c>
    </row>
    <row r="729" spans="1:4" ht="12.75">
      <c r="A729" s="50">
        <v>2008</v>
      </c>
      <c r="B729" s="50" t="s">
        <v>84</v>
      </c>
      <c r="C729" s="50" t="s">
        <v>100</v>
      </c>
      <c r="D729" s="50">
        <v>358</v>
      </c>
    </row>
    <row r="730" spans="1:4" ht="12.75">
      <c r="A730" s="50">
        <v>2009</v>
      </c>
      <c r="B730" s="50" t="s">
        <v>84</v>
      </c>
      <c r="C730" s="50" t="s">
        <v>100</v>
      </c>
      <c r="D730" s="50">
        <v>417</v>
      </c>
    </row>
    <row r="731" spans="1:4" ht="12.75">
      <c r="A731" s="50">
        <v>2010</v>
      </c>
      <c r="B731" s="50" t="s">
        <v>84</v>
      </c>
      <c r="C731" s="50" t="s">
        <v>100</v>
      </c>
      <c r="D731" s="50">
        <v>370</v>
      </c>
    </row>
    <row r="732" spans="1:4" ht="12.75">
      <c r="A732" s="50">
        <v>2000</v>
      </c>
      <c r="B732" s="50" t="s">
        <v>84</v>
      </c>
      <c r="C732" s="50" t="s">
        <v>101</v>
      </c>
      <c r="D732" s="50">
        <v>1405</v>
      </c>
    </row>
    <row r="733" spans="1:4" ht="12.75">
      <c r="A733" s="50">
        <v>2001</v>
      </c>
      <c r="B733" s="50" t="s">
        <v>84</v>
      </c>
      <c r="C733" s="50" t="s">
        <v>101</v>
      </c>
      <c r="D733" s="50">
        <v>1330</v>
      </c>
    </row>
    <row r="734" spans="1:4" ht="12.75">
      <c r="A734" s="50">
        <v>2002</v>
      </c>
      <c r="B734" s="50" t="s">
        <v>84</v>
      </c>
      <c r="C734" s="50" t="s">
        <v>101</v>
      </c>
      <c r="D734" s="50">
        <v>1409</v>
      </c>
    </row>
    <row r="735" spans="1:4" ht="12.75">
      <c r="A735" s="50">
        <v>2003</v>
      </c>
      <c r="B735" s="50" t="s">
        <v>84</v>
      </c>
      <c r="C735" s="50" t="s">
        <v>101</v>
      </c>
      <c r="D735" s="50">
        <v>1377</v>
      </c>
    </row>
    <row r="736" spans="1:4" ht="12.75">
      <c r="A736" s="50">
        <v>2004</v>
      </c>
      <c r="B736" s="50" t="s">
        <v>84</v>
      </c>
      <c r="C736" s="50" t="s">
        <v>101</v>
      </c>
      <c r="D736" s="50">
        <v>1456</v>
      </c>
    </row>
    <row r="737" spans="1:4" ht="12.75">
      <c r="A737" s="50">
        <v>2005</v>
      </c>
      <c r="B737" s="50" t="s">
        <v>84</v>
      </c>
      <c r="C737" s="50" t="s">
        <v>101</v>
      </c>
      <c r="D737" s="50">
        <v>1521</v>
      </c>
    </row>
    <row r="738" spans="1:4" ht="12.75">
      <c r="A738" s="50">
        <v>2006</v>
      </c>
      <c r="B738" s="50" t="s">
        <v>84</v>
      </c>
      <c r="C738" s="50" t="s">
        <v>101</v>
      </c>
      <c r="D738" s="50">
        <v>1564</v>
      </c>
    </row>
    <row r="739" spans="1:4" ht="12.75">
      <c r="A739" s="50">
        <v>2007</v>
      </c>
      <c r="B739" s="50" t="s">
        <v>84</v>
      </c>
      <c r="C739" s="50" t="s">
        <v>101</v>
      </c>
      <c r="D739" s="50">
        <v>1602</v>
      </c>
    </row>
    <row r="740" spans="1:4" ht="12.75">
      <c r="A740" s="50">
        <v>2008</v>
      </c>
      <c r="B740" s="50" t="s">
        <v>84</v>
      </c>
      <c r="C740" s="50" t="s">
        <v>101</v>
      </c>
      <c r="D740" s="50">
        <v>1627</v>
      </c>
    </row>
    <row r="741" spans="1:4" ht="12.75">
      <c r="A741" s="50">
        <v>2009</v>
      </c>
      <c r="B741" s="50" t="s">
        <v>84</v>
      </c>
      <c r="C741" s="50" t="s">
        <v>101</v>
      </c>
      <c r="D741" s="50">
        <v>1720</v>
      </c>
    </row>
    <row r="742" spans="1:4" ht="12.75">
      <c r="A742" s="50">
        <v>2010</v>
      </c>
      <c r="B742" s="50" t="s">
        <v>84</v>
      </c>
      <c r="C742" s="50" t="s">
        <v>101</v>
      </c>
      <c r="D742" s="50">
        <v>1726</v>
      </c>
    </row>
    <row r="743" spans="1:4" ht="12.75">
      <c r="A743" s="50">
        <v>2000</v>
      </c>
      <c r="B743" s="50" t="s">
        <v>84</v>
      </c>
      <c r="C743" s="50" t="s">
        <v>102</v>
      </c>
      <c r="D743" s="50">
        <v>455</v>
      </c>
    </row>
    <row r="744" spans="1:4" ht="12.75">
      <c r="A744" s="50">
        <v>2001</v>
      </c>
      <c r="B744" s="50" t="s">
        <v>84</v>
      </c>
      <c r="C744" s="50" t="s">
        <v>102</v>
      </c>
      <c r="D744" s="50">
        <v>475</v>
      </c>
    </row>
    <row r="745" spans="1:4" ht="12.75">
      <c r="A745" s="50">
        <v>2002</v>
      </c>
      <c r="B745" s="50" t="s">
        <v>84</v>
      </c>
      <c r="C745" s="50" t="s">
        <v>102</v>
      </c>
      <c r="D745" s="50">
        <v>281</v>
      </c>
    </row>
    <row r="746" spans="1:4" ht="12.75">
      <c r="A746" s="50">
        <v>2003</v>
      </c>
      <c r="B746" s="50" t="s">
        <v>84</v>
      </c>
      <c r="C746" s="50" t="s">
        <v>102</v>
      </c>
      <c r="D746" s="50">
        <v>309</v>
      </c>
    </row>
    <row r="747" spans="1:4" ht="12.75">
      <c r="A747" s="50">
        <v>2004</v>
      </c>
      <c r="B747" s="50" t="s">
        <v>84</v>
      </c>
      <c r="C747" s="50" t="s">
        <v>102</v>
      </c>
      <c r="D747" s="50">
        <v>310</v>
      </c>
    </row>
    <row r="748" spans="1:4" ht="12.75">
      <c r="A748" s="50">
        <v>2005</v>
      </c>
      <c r="B748" s="50" t="s">
        <v>84</v>
      </c>
      <c r="C748" s="50" t="s">
        <v>102</v>
      </c>
      <c r="D748" s="50">
        <v>305</v>
      </c>
    </row>
    <row r="749" spans="1:4" ht="12.75">
      <c r="A749" s="50">
        <v>2006</v>
      </c>
      <c r="B749" s="50" t="s">
        <v>84</v>
      </c>
      <c r="C749" s="50" t="s">
        <v>102</v>
      </c>
      <c r="D749" s="50">
        <v>387</v>
      </c>
    </row>
    <row r="750" spans="1:4" ht="12.75">
      <c r="A750" s="50">
        <v>2007</v>
      </c>
      <c r="B750" s="50" t="s">
        <v>84</v>
      </c>
      <c r="C750" s="50" t="s">
        <v>102</v>
      </c>
      <c r="D750" s="50">
        <v>360</v>
      </c>
    </row>
    <row r="751" spans="1:4" ht="12.75">
      <c r="A751" s="50">
        <v>2008</v>
      </c>
      <c r="B751" s="50" t="s">
        <v>84</v>
      </c>
      <c r="C751" s="50" t="s">
        <v>102</v>
      </c>
      <c r="D751" s="50">
        <v>400</v>
      </c>
    </row>
    <row r="752" spans="1:4" ht="12.75">
      <c r="A752" s="50">
        <v>2009</v>
      </c>
      <c r="B752" s="50" t="s">
        <v>84</v>
      </c>
      <c r="C752" s="50" t="s">
        <v>102</v>
      </c>
      <c r="D752" s="50">
        <v>418</v>
      </c>
    </row>
    <row r="753" spans="1:4" ht="12.75">
      <c r="A753" s="50">
        <v>2010</v>
      </c>
      <c r="B753" s="50" t="s">
        <v>84</v>
      </c>
      <c r="C753" s="50" t="s">
        <v>102</v>
      </c>
      <c r="D753" s="50">
        <v>365</v>
      </c>
    </row>
    <row r="754" spans="1:4" ht="12.75">
      <c r="A754" s="50">
        <v>2000</v>
      </c>
      <c r="B754" s="50" t="s">
        <v>84</v>
      </c>
      <c r="C754" s="50" t="s">
        <v>103</v>
      </c>
      <c r="D754" s="50">
        <v>134</v>
      </c>
    </row>
    <row r="755" spans="1:4" ht="12.75">
      <c r="A755" s="50">
        <v>2001</v>
      </c>
      <c r="B755" s="50" t="s">
        <v>84</v>
      </c>
      <c r="C755" s="50" t="s">
        <v>103</v>
      </c>
      <c r="D755" s="50">
        <v>128</v>
      </c>
    </row>
    <row r="756" spans="1:4" ht="12.75">
      <c r="A756" s="50">
        <v>2002</v>
      </c>
      <c r="B756" s="50" t="s">
        <v>84</v>
      </c>
      <c r="C756" s="50" t="s">
        <v>103</v>
      </c>
      <c r="D756" s="50">
        <v>122</v>
      </c>
    </row>
    <row r="757" spans="1:4" ht="12.75">
      <c r="A757" s="50">
        <v>2003</v>
      </c>
      <c r="B757" s="50" t="s">
        <v>84</v>
      </c>
      <c r="C757" s="50" t="s">
        <v>103</v>
      </c>
      <c r="D757" s="50">
        <v>139</v>
      </c>
    </row>
    <row r="758" spans="1:4" ht="12.75">
      <c r="A758" s="50">
        <v>2004</v>
      </c>
      <c r="B758" s="50" t="s">
        <v>84</v>
      </c>
      <c r="C758" s="50" t="s">
        <v>103</v>
      </c>
      <c r="D758" s="50">
        <v>157</v>
      </c>
    </row>
    <row r="759" spans="1:4" ht="12.75">
      <c r="A759" s="50">
        <v>2005</v>
      </c>
      <c r="B759" s="50" t="s">
        <v>84</v>
      </c>
      <c r="C759" s="50" t="s">
        <v>103</v>
      </c>
      <c r="D759" s="50">
        <v>203</v>
      </c>
    </row>
    <row r="760" spans="1:4" ht="12.75">
      <c r="A760" s="50">
        <v>2006</v>
      </c>
      <c r="B760" s="50" t="s">
        <v>84</v>
      </c>
      <c r="C760" s="50" t="s">
        <v>103</v>
      </c>
      <c r="D760" s="50">
        <v>225</v>
      </c>
    </row>
    <row r="761" spans="1:4" ht="12.75">
      <c r="A761" s="50">
        <v>2007</v>
      </c>
      <c r="B761" s="50" t="s">
        <v>84</v>
      </c>
      <c r="C761" s="50" t="s">
        <v>103</v>
      </c>
      <c r="D761" s="50">
        <v>225</v>
      </c>
    </row>
    <row r="762" spans="1:4" ht="12.75">
      <c r="A762" s="50">
        <v>2008</v>
      </c>
      <c r="B762" s="50" t="s">
        <v>84</v>
      </c>
      <c r="C762" s="50" t="s">
        <v>103</v>
      </c>
      <c r="D762" s="50">
        <v>223</v>
      </c>
    </row>
    <row r="763" spans="1:4" ht="12.75">
      <c r="A763" s="50">
        <v>2009</v>
      </c>
      <c r="B763" s="50" t="s">
        <v>84</v>
      </c>
      <c r="C763" s="50" t="s">
        <v>103</v>
      </c>
      <c r="D763" s="50">
        <v>231</v>
      </c>
    </row>
    <row r="764" spans="1:4" ht="12.75">
      <c r="A764" s="50">
        <v>2010</v>
      </c>
      <c r="B764" s="50" t="s">
        <v>84</v>
      </c>
      <c r="C764" s="50" t="s">
        <v>103</v>
      </c>
      <c r="D764" s="50">
        <v>177</v>
      </c>
    </row>
    <row r="765" spans="1:4" ht="12.75">
      <c r="A765" s="50">
        <v>2000</v>
      </c>
      <c r="B765" s="50" t="s">
        <v>84</v>
      </c>
      <c r="C765" s="50" t="s">
        <v>104</v>
      </c>
      <c r="D765" s="50">
        <v>1398</v>
      </c>
    </row>
    <row r="766" spans="1:4" ht="12.75">
      <c r="A766" s="50">
        <v>2001</v>
      </c>
      <c r="B766" s="50" t="s">
        <v>84</v>
      </c>
      <c r="C766" s="50" t="s">
        <v>104</v>
      </c>
      <c r="D766" s="50">
        <v>1264</v>
      </c>
    </row>
    <row r="767" spans="1:4" ht="12.75">
      <c r="A767" s="50">
        <v>2002</v>
      </c>
      <c r="B767" s="50" t="s">
        <v>84</v>
      </c>
      <c r="C767" s="50" t="s">
        <v>104</v>
      </c>
      <c r="D767" s="50">
        <v>1330</v>
      </c>
    </row>
    <row r="768" spans="1:4" ht="12.75">
      <c r="A768" s="50">
        <v>2003</v>
      </c>
      <c r="B768" s="50" t="s">
        <v>84</v>
      </c>
      <c r="C768" s="50" t="s">
        <v>104</v>
      </c>
      <c r="D768" s="50">
        <v>1349</v>
      </c>
    </row>
    <row r="769" spans="1:4" ht="12.75">
      <c r="A769" s="50">
        <v>2004</v>
      </c>
      <c r="B769" s="50" t="s">
        <v>84</v>
      </c>
      <c r="C769" s="50" t="s">
        <v>104</v>
      </c>
      <c r="D769" s="50">
        <v>1440</v>
      </c>
    </row>
    <row r="770" spans="1:4" ht="12.75">
      <c r="A770" s="50">
        <v>2005</v>
      </c>
      <c r="B770" s="50" t="s">
        <v>84</v>
      </c>
      <c r="C770" s="50" t="s">
        <v>104</v>
      </c>
      <c r="D770" s="50">
        <v>1376</v>
      </c>
    </row>
    <row r="771" spans="1:4" ht="12.75">
      <c r="A771" s="50">
        <v>2006</v>
      </c>
      <c r="B771" s="50" t="s">
        <v>84</v>
      </c>
      <c r="C771" s="50" t="s">
        <v>104</v>
      </c>
      <c r="D771" s="50">
        <v>1461</v>
      </c>
    </row>
    <row r="772" spans="1:4" ht="12.75">
      <c r="A772" s="50">
        <v>2007</v>
      </c>
      <c r="B772" s="50" t="s">
        <v>84</v>
      </c>
      <c r="C772" s="50" t="s">
        <v>104</v>
      </c>
      <c r="D772" s="50">
        <v>1328</v>
      </c>
    </row>
    <row r="773" spans="1:4" ht="12.75">
      <c r="A773" s="50">
        <v>2008</v>
      </c>
      <c r="B773" s="50" t="s">
        <v>84</v>
      </c>
      <c r="C773" s="50" t="s">
        <v>104</v>
      </c>
      <c r="D773" s="50">
        <v>1417</v>
      </c>
    </row>
    <row r="774" spans="1:4" ht="12.75">
      <c r="A774" s="50">
        <v>2009</v>
      </c>
      <c r="B774" s="50" t="s">
        <v>84</v>
      </c>
      <c r="C774" s="50" t="s">
        <v>104</v>
      </c>
      <c r="D774" s="50">
        <v>1501</v>
      </c>
    </row>
    <row r="775" spans="1:4" ht="12.75">
      <c r="A775" s="50">
        <v>2010</v>
      </c>
      <c r="B775" s="50" t="s">
        <v>84</v>
      </c>
      <c r="C775" s="50" t="s">
        <v>104</v>
      </c>
      <c r="D775" s="50">
        <v>1624</v>
      </c>
    </row>
    <row r="776" spans="1:4" ht="12.75">
      <c r="A776" s="50">
        <v>2000</v>
      </c>
      <c r="B776" s="50" t="s">
        <v>84</v>
      </c>
      <c r="C776" s="50" t="s">
        <v>105</v>
      </c>
      <c r="D776" s="50">
        <v>416</v>
      </c>
    </row>
    <row r="777" spans="1:4" ht="12.75">
      <c r="A777" s="50">
        <v>2001</v>
      </c>
      <c r="B777" s="50" t="s">
        <v>84</v>
      </c>
      <c r="C777" s="50" t="s">
        <v>105</v>
      </c>
      <c r="D777" s="50">
        <v>388</v>
      </c>
    </row>
    <row r="778" spans="1:4" ht="12.75">
      <c r="A778" s="50">
        <v>2002</v>
      </c>
      <c r="B778" s="50" t="s">
        <v>84</v>
      </c>
      <c r="C778" s="50" t="s">
        <v>105</v>
      </c>
      <c r="D778" s="50">
        <v>381</v>
      </c>
    </row>
    <row r="779" spans="1:4" ht="12.75">
      <c r="A779" s="50">
        <v>2003</v>
      </c>
      <c r="B779" s="50" t="s">
        <v>84</v>
      </c>
      <c r="C779" s="50" t="s">
        <v>105</v>
      </c>
      <c r="D779" s="50">
        <v>419</v>
      </c>
    </row>
    <row r="780" spans="1:4" ht="12.75">
      <c r="A780" s="50">
        <v>2004</v>
      </c>
      <c r="B780" s="50" t="s">
        <v>84</v>
      </c>
      <c r="C780" s="50" t="s">
        <v>105</v>
      </c>
      <c r="D780" s="50">
        <v>452</v>
      </c>
    </row>
    <row r="781" spans="1:4" ht="12.75">
      <c r="A781" s="50">
        <v>2005</v>
      </c>
      <c r="B781" s="50" t="s">
        <v>84</v>
      </c>
      <c r="C781" s="50" t="s">
        <v>105</v>
      </c>
      <c r="D781" s="50">
        <v>393</v>
      </c>
    </row>
    <row r="782" spans="1:4" ht="12.75">
      <c r="A782" s="50">
        <v>2006</v>
      </c>
      <c r="B782" s="50" t="s">
        <v>84</v>
      </c>
      <c r="C782" s="50" t="s">
        <v>105</v>
      </c>
      <c r="D782" s="50">
        <v>418</v>
      </c>
    </row>
    <row r="783" spans="1:4" ht="12.75">
      <c r="A783" s="50">
        <v>2007</v>
      </c>
      <c r="B783" s="50" t="s">
        <v>84</v>
      </c>
      <c r="C783" s="50" t="s">
        <v>105</v>
      </c>
      <c r="D783" s="50">
        <v>489</v>
      </c>
    </row>
    <row r="784" spans="1:4" ht="12.75">
      <c r="A784" s="50">
        <v>2008</v>
      </c>
      <c r="B784" s="50" t="s">
        <v>84</v>
      </c>
      <c r="C784" s="50" t="s">
        <v>105</v>
      </c>
      <c r="D784" s="50">
        <v>411</v>
      </c>
    </row>
    <row r="785" spans="1:4" ht="12.75">
      <c r="A785" s="50">
        <v>2009</v>
      </c>
      <c r="B785" s="50" t="s">
        <v>84</v>
      </c>
      <c r="C785" s="50" t="s">
        <v>105</v>
      </c>
      <c r="D785" s="50">
        <v>479</v>
      </c>
    </row>
    <row r="786" spans="1:4" ht="12.75">
      <c r="A786" s="50">
        <v>2010</v>
      </c>
      <c r="B786" s="50" t="s">
        <v>84</v>
      </c>
      <c r="C786" s="50" t="s">
        <v>105</v>
      </c>
      <c r="D786" s="50">
        <v>412</v>
      </c>
    </row>
    <row r="787" spans="1:4" ht="12.75">
      <c r="A787" s="50">
        <v>2000</v>
      </c>
      <c r="B787" s="50" t="s">
        <v>84</v>
      </c>
      <c r="C787" s="50" t="s">
        <v>106</v>
      </c>
      <c r="D787" s="50">
        <v>173</v>
      </c>
    </row>
    <row r="788" spans="1:4" ht="12.75">
      <c r="A788" s="50">
        <v>2001</v>
      </c>
      <c r="B788" s="50" t="s">
        <v>84</v>
      </c>
      <c r="C788" s="50" t="s">
        <v>106</v>
      </c>
      <c r="D788" s="50">
        <v>248</v>
      </c>
    </row>
    <row r="789" spans="1:4" ht="12.75">
      <c r="A789" s="50">
        <v>2002</v>
      </c>
      <c r="B789" s="50" t="s">
        <v>84</v>
      </c>
      <c r="C789" s="50" t="s">
        <v>106</v>
      </c>
      <c r="D789" s="50">
        <v>207</v>
      </c>
    </row>
    <row r="790" spans="1:4" ht="12.75">
      <c r="A790" s="50">
        <v>2003</v>
      </c>
      <c r="B790" s="50" t="s">
        <v>84</v>
      </c>
      <c r="C790" s="50" t="s">
        <v>106</v>
      </c>
      <c r="D790" s="50">
        <v>240</v>
      </c>
    </row>
    <row r="791" spans="1:4" ht="12.75">
      <c r="A791" s="50">
        <v>2004</v>
      </c>
      <c r="B791" s="50" t="s">
        <v>84</v>
      </c>
      <c r="C791" s="50" t="s">
        <v>106</v>
      </c>
      <c r="D791" s="50">
        <v>231</v>
      </c>
    </row>
    <row r="792" spans="1:4" ht="12.75">
      <c r="A792" s="50">
        <v>2005</v>
      </c>
      <c r="B792" s="50" t="s">
        <v>84</v>
      </c>
      <c r="C792" s="50" t="s">
        <v>106</v>
      </c>
      <c r="D792" s="50">
        <v>270</v>
      </c>
    </row>
    <row r="793" spans="1:4" ht="12.75">
      <c r="A793" s="50">
        <v>2006</v>
      </c>
      <c r="B793" s="50" t="s">
        <v>84</v>
      </c>
      <c r="C793" s="50" t="s">
        <v>106</v>
      </c>
      <c r="D793" s="50">
        <v>279</v>
      </c>
    </row>
    <row r="794" spans="1:4" ht="12.75">
      <c r="A794" s="50">
        <v>2007</v>
      </c>
      <c r="B794" s="50" t="s">
        <v>84</v>
      </c>
      <c r="C794" s="50" t="s">
        <v>106</v>
      </c>
      <c r="D794" s="50">
        <v>224</v>
      </c>
    </row>
    <row r="795" spans="1:4" ht="12.75">
      <c r="A795" s="50">
        <v>2008</v>
      </c>
      <c r="B795" s="50" t="s">
        <v>84</v>
      </c>
      <c r="C795" s="50" t="s">
        <v>106</v>
      </c>
      <c r="D795" s="50">
        <v>244</v>
      </c>
    </row>
    <row r="796" spans="1:4" ht="12.75">
      <c r="A796" s="50">
        <v>2009</v>
      </c>
      <c r="B796" s="50" t="s">
        <v>84</v>
      </c>
      <c r="C796" s="50" t="s">
        <v>106</v>
      </c>
      <c r="D796" s="50">
        <v>310</v>
      </c>
    </row>
    <row r="797" spans="1:4" ht="12.75">
      <c r="A797" s="50">
        <v>2010</v>
      </c>
      <c r="B797" s="50" t="s">
        <v>84</v>
      </c>
      <c r="C797" s="50" t="s">
        <v>106</v>
      </c>
      <c r="D797" s="50">
        <v>322</v>
      </c>
    </row>
    <row r="798" spans="1:4" ht="12.75">
      <c r="A798" s="50">
        <v>2000</v>
      </c>
      <c r="B798" s="50" t="s">
        <v>84</v>
      </c>
      <c r="C798" s="50" t="s">
        <v>107</v>
      </c>
      <c r="D798" s="50">
        <v>302</v>
      </c>
    </row>
    <row r="799" spans="1:4" ht="12.75">
      <c r="A799" s="50">
        <v>2001</v>
      </c>
      <c r="B799" s="50" t="s">
        <v>84</v>
      </c>
      <c r="C799" s="50" t="s">
        <v>107</v>
      </c>
      <c r="D799" s="50">
        <v>242</v>
      </c>
    </row>
    <row r="800" spans="1:4" ht="12.75">
      <c r="A800" s="50">
        <v>2002</v>
      </c>
      <c r="B800" s="50" t="s">
        <v>84</v>
      </c>
      <c r="C800" s="50" t="s">
        <v>107</v>
      </c>
      <c r="D800" s="50">
        <v>342</v>
      </c>
    </row>
    <row r="801" spans="1:4" ht="12.75">
      <c r="A801" s="50">
        <v>2003</v>
      </c>
      <c r="B801" s="50" t="s">
        <v>84</v>
      </c>
      <c r="C801" s="50" t="s">
        <v>107</v>
      </c>
      <c r="D801" s="50">
        <v>357</v>
      </c>
    </row>
    <row r="802" spans="1:4" ht="12.75">
      <c r="A802" s="50">
        <v>2004</v>
      </c>
      <c r="B802" s="50" t="s">
        <v>84</v>
      </c>
      <c r="C802" s="50" t="s">
        <v>107</v>
      </c>
      <c r="D802" s="50">
        <v>328</v>
      </c>
    </row>
    <row r="803" spans="1:4" ht="12.75">
      <c r="A803" s="50">
        <v>2005</v>
      </c>
      <c r="B803" s="50" t="s">
        <v>84</v>
      </c>
      <c r="C803" s="50" t="s">
        <v>107</v>
      </c>
      <c r="D803" s="50">
        <v>302</v>
      </c>
    </row>
    <row r="804" spans="1:4" ht="12.75">
      <c r="A804" s="50">
        <v>2006</v>
      </c>
      <c r="B804" s="50" t="s">
        <v>84</v>
      </c>
      <c r="C804" s="50" t="s">
        <v>107</v>
      </c>
      <c r="D804" s="50">
        <v>248</v>
      </c>
    </row>
    <row r="805" spans="1:4" ht="12.75">
      <c r="A805" s="50">
        <v>2007</v>
      </c>
      <c r="B805" s="50" t="s">
        <v>84</v>
      </c>
      <c r="C805" s="50" t="s">
        <v>107</v>
      </c>
      <c r="D805" s="50">
        <v>287</v>
      </c>
    </row>
    <row r="806" spans="1:4" ht="12.75">
      <c r="A806" s="50">
        <v>2008</v>
      </c>
      <c r="B806" s="50" t="s">
        <v>84</v>
      </c>
      <c r="C806" s="50" t="s">
        <v>107</v>
      </c>
      <c r="D806" s="50">
        <v>265</v>
      </c>
    </row>
    <row r="807" spans="1:4" ht="12.75">
      <c r="A807" s="50">
        <v>2009</v>
      </c>
      <c r="B807" s="50" t="s">
        <v>84</v>
      </c>
      <c r="C807" s="50" t="s">
        <v>107</v>
      </c>
      <c r="D807" s="50">
        <v>282</v>
      </c>
    </row>
    <row r="808" spans="1:4" ht="12.75">
      <c r="A808" s="50">
        <v>2010</v>
      </c>
      <c r="B808" s="50" t="s">
        <v>84</v>
      </c>
      <c r="C808" s="50" t="s">
        <v>107</v>
      </c>
      <c r="D808" s="50">
        <v>268</v>
      </c>
    </row>
    <row r="809" spans="1:4" ht="12.75">
      <c r="A809" s="50">
        <v>2001</v>
      </c>
      <c r="B809" s="50" t="s">
        <v>84</v>
      </c>
      <c r="C809" s="50" t="s">
        <v>108</v>
      </c>
      <c r="D809" s="50">
        <v>207</v>
      </c>
    </row>
    <row r="810" spans="1:4" ht="12.75">
      <c r="A810" s="50">
        <v>2002</v>
      </c>
      <c r="B810" s="50" t="s">
        <v>84</v>
      </c>
      <c r="C810" s="50" t="s">
        <v>108</v>
      </c>
      <c r="D810" s="50">
        <v>241</v>
      </c>
    </row>
    <row r="811" spans="1:4" ht="12.75">
      <c r="A811" s="50">
        <v>2003</v>
      </c>
      <c r="B811" s="50" t="s">
        <v>84</v>
      </c>
      <c r="C811" s="50" t="s">
        <v>108</v>
      </c>
      <c r="D811" s="50">
        <v>203</v>
      </c>
    </row>
    <row r="812" spans="1:4" ht="12.75">
      <c r="A812" s="50">
        <v>2004</v>
      </c>
      <c r="B812" s="50" t="s">
        <v>84</v>
      </c>
      <c r="C812" s="50" t="s">
        <v>108</v>
      </c>
      <c r="D812" s="50">
        <v>195</v>
      </c>
    </row>
    <row r="813" spans="1:4" ht="12.75">
      <c r="A813" s="50">
        <v>2005</v>
      </c>
      <c r="B813" s="50" t="s">
        <v>84</v>
      </c>
      <c r="C813" s="50" t="s">
        <v>108</v>
      </c>
      <c r="D813" s="50">
        <v>230</v>
      </c>
    </row>
    <row r="814" spans="1:4" ht="12.75">
      <c r="A814" s="50">
        <v>2006</v>
      </c>
      <c r="B814" s="50" t="s">
        <v>84</v>
      </c>
      <c r="C814" s="50" t="s">
        <v>108</v>
      </c>
      <c r="D814" s="50">
        <v>195</v>
      </c>
    </row>
    <row r="815" spans="1:4" ht="12.75">
      <c r="A815" s="50">
        <v>2007</v>
      </c>
      <c r="B815" s="50" t="s">
        <v>84</v>
      </c>
      <c r="C815" s="50" t="s">
        <v>108</v>
      </c>
      <c r="D815" s="50">
        <v>185</v>
      </c>
    </row>
    <row r="816" spans="1:4" ht="12.75">
      <c r="A816" s="50">
        <v>2008</v>
      </c>
      <c r="B816" s="50" t="s">
        <v>84</v>
      </c>
      <c r="C816" s="50" t="s">
        <v>108</v>
      </c>
      <c r="D816" s="50">
        <v>151</v>
      </c>
    </row>
    <row r="817" spans="1:4" ht="12.75">
      <c r="A817" s="50">
        <v>2009</v>
      </c>
      <c r="B817" s="50" t="s">
        <v>84</v>
      </c>
      <c r="C817" s="50" t="s">
        <v>108</v>
      </c>
      <c r="D817" s="50">
        <v>242</v>
      </c>
    </row>
    <row r="818" spans="1:4" ht="12.75">
      <c r="A818" s="50">
        <v>2010</v>
      </c>
      <c r="B818" s="50" t="s">
        <v>84</v>
      </c>
      <c r="C818" s="50" t="s">
        <v>108</v>
      </c>
      <c r="D818" s="50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47 - Trend in FTFT Freshm</vt:lpstr>
      <vt:lpstr>Pivot</vt:lpstr>
      <vt:lpstr>data</vt:lpstr>
      <vt:lpstr>'Table 47 - Trend in FTFT Freshm'!Print_Area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2010-03-09T21:37:17Z</cp:lastPrinted>
  <dcterms:created xsi:type="dcterms:W3CDTF">2003-06-16T22:20:29Z</dcterms:created>
  <dcterms:modified xsi:type="dcterms:W3CDTF">2011-08-18T21:32:55Z</dcterms:modified>
</cp:coreProperties>
</file>