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" yWindow="-165" windowWidth="9420" windowHeight="9090"/>
  </bookViews>
  <sheets>
    <sheet name="Table 47 - Trend in FTFT Freshm" sheetId="1" r:id="rId1"/>
  </sheets>
  <definedNames>
    <definedName name="_xlnm.Print_Area" localSheetId="0">'Table 47 - Trend in FTFT Freshm'!$A$1:$AD$109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AD93" i="1"/>
  <c r="AD104"/>
  <c r="AD25"/>
  <c r="AD102"/>
  <c r="AD51"/>
  <c r="AC102"/>
  <c r="AC93"/>
  <c r="AC51"/>
  <c r="AC25"/>
  <c r="AB25"/>
  <c r="AB51"/>
  <c r="AB53" s="1"/>
  <c r="AB93"/>
  <c r="AB102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AA51"/>
  <c r="AA25"/>
  <c r="AA102"/>
  <c r="AA104" s="1"/>
  <c r="Z16"/>
  <c r="Z23"/>
  <c r="Z22"/>
  <c r="Z24"/>
  <c r="Z40"/>
  <c r="Z49"/>
  <c r="Z17"/>
  <c r="Z18"/>
  <c r="Z13"/>
  <c r="Z12"/>
  <c r="Z15"/>
  <c r="Z33"/>
  <c r="Z36"/>
  <c r="Z37"/>
  <c r="Z35"/>
  <c r="Z34"/>
  <c r="Z32"/>
  <c r="Z45"/>
  <c r="Z46"/>
  <c r="Z47"/>
  <c r="Z30"/>
  <c r="Z29"/>
  <c r="Z43"/>
  <c r="Z42"/>
  <c r="Z39"/>
  <c r="Z31"/>
  <c r="Z21"/>
  <c r="Z50"/>
  <c r="Z19"/>
  <c r="Z44"/>
  <c r="Z20"/>
  <c r="Z14"/>
  <c r="Z41"/>
  <c r="Z102"/>
  <c r="Y16"/>
  <c r="Y32"/>
  <c r="Y42"/>
  <c r="Y50"/>
  <c r="Y49"/>
  <c r="Y47"/>
  <c r="Y46"/>
  <c r="Y45"/>
  <c r="Y44"/>
  <c r="Y37"/>
  <c r="Y36"/>
  <c r="Y35"/>
  <c r="Y33"/>
  <c r="Y34"/>
  <c r="Y40"/>
  <c r="Y39"/>
  <c r="Y43"/>
  <c r="Y31"/>
  <c r="Y30"/>
  <c r="Y29"/>
  <c r="Y41"/>
  <c r="Y15"/>
  <c r="Y19"/>
  <c r="Y18"/>
  <c r="Y20"/>
  <c r="Y17"/>
  <c r="Y14"/>
  <c r="Y13"/>
  <c r="Y12"/>
  <c r="Y21"/>
  <c r="Y24"/>
  <c r="Y23"/>
  <c r="Y22"/>
  <c r="Y102"/>
  <c r="Y104" s="1"/>
  <c r="X47"/>
  <c r="X46"/>
  <c r="X45"/>
  <c r="X41"/>
  <c r="X40"/>
  <c r="X49"/>
  <c r="X13"/>
  <c r="X31"/>
  <c r="X29"/>
  <c r="X37"/>
  <c r="X20"/>
  <c r="X44"/>
  <c r="X15"/>
  <c r="X50"/>
  <c r="X43"/>
  <c r="X18"/>
  <c r="X42"/>
  <c r="X36"/>
  <c r="X35"/>
  <c r="X39"/>
  <c r="X33"/>
  <c r="X30"/>
  <c r="X17"/>
  <c r="X24"/>
  <c r="X16"/>
  <c r="X23"/>
  <c r="X22"/>
  <c r="X14"/>
  <c r="X19"/>
  <c r="X102"/>
  <c r="X21"/>
  <c r="W29"/>
  <c r="W30"/>
  <c r="W14"/>
  <c r="W44"/>
  <c r="W49"/>
  <c r="W32"/>
  <c r="W21"/>
  <c r="W43"/>
  <c r="W19"/>
  <c r="W22"/>
  <c r="W23"/>
  <c r="W24"/>
  <c r="W16"/>
  <c r="W50"/>
  <c r="W18"/>
  <c r="W36"/>
  <c r="W37"/>
  <c r="W20"/>
  <c r="W15"/>
  <c r="W42"/>
  <c r="W41"/>
  <c r="W39"/>
  <c r="W31"/>
  <c r="W46"/>
  <c r="W47"/>
  <c r="W45"/>
  <c r="W40"/>
  <c r="W13"/>
  <c r="W17"/>
  <c r="W102"/>
  <c r="O21"/>
  <c r="P21"/>
  <c r="Q21"/>
  <c r="R21"/>
  <c r="S21"/>
  <c r="T21"/>
  <c r="U21"/>
  <c r="V21"/>
  <c r="O12"/>
  <c r="P12"/>
  <c r="R12"/>
  <c r="S12"/>
  <c r="O13"/>
  <c r="P13"/>
  <c r="Q13"/>
  <c r="R13"/>
  <c r="S13"/>
  <c r="T13"/>
  <c r="U13"/>
  <c r="V13"/>
  <c r="O14"/>
  <c r="P14"/>
  <c r="Q14"/>
  <c r="R14"/>
  <c r="S14"/>
  <c r="T14"/>
  <c r="U14"/>
  <c r="V14"/>
  <c r="O17"/>
  <c r="P17"/>
  <c r="Q17"/>
  <c r="R17"/>
  <c r="S17"/>
  <c r="T17"/>
  <c r="U17"/>
  <c r="V17"/>
  <c r="O18"/>
  <c r="P18"/>
  <c r="Q18"/>
  <c r="R18"/>
  <c r="S18"/>
  <c r="T18"/>
  <c r="U18"/>
  <c r="V18"/>
  <c r="O19"/>
  <c r="P19"/>
  <c r="Q19"/>
  <c r="R19"/>
  <c r="S19"/>
  <c r="T19"/>
  <c r="U19"/>
  <c r="V19"/>
  <c r="O15"/>
  <c r="P15"/>
  <c r="Q15"/>
  <c r="R15"/>
  <c r="S15"/>
  <c r="T15"/>
  <c r="U15"/>
  <c r="V15"/>
  <c r="O20"/>
  <c r="P20"/>
  <c r="Q20"/>
  <c r="R20"/>
  <c r="S20"/>
  <c r="T20"/>
  <c r="U20"/>
  <c r="V20"/>
  <c r="O22"/>
  <c r="P22"/>
  <c r="Q22"/>
  <c r="R22"/>
  <c r="S22"/>
  <c r="T22"/>
  <c r="U22"/>
  <c r="V22"/>
  <c r="O23"/>
  <c r="P23"/>
  <c r="Q23"/>
  <c r="R23"/>
  <c r="S23"/>
  <c r="T23"/>
  <c r="U23"/>
  <c r="V23"/>
  <c r="O16"/>
  <c r="P16"/>
  <c r="R16"/>
  <c r="S16"/>
  <c r="T16"/>
  <c r="U16"/>
  <c r="V16"/>
  <c r="O24"/>
  <c r="P24"/>
  <c r="R24"/>
  <c r="S24"/>
  <c r="T24"/>
  <c r="U24"/>
  <c r="V24"/>
  <c r="B25"/>
  <c r="C25"/>
  <c r="D25"/>
  <c r="E25"/>
  <c r="F25"/>
  <c r="G25"/>
  <c r="H25"/>
  <c r="I25"/>
  <c r="J25"/>
  <c r="K25"/>
  <c r="L25"/>
  <c r="M25"/>
  <c r="N25"/>
  <c r="O29"/>
  <c r="P29"/>
  <c r="Q29"/>
  <c r="R29"/>
  <c r="S29"/>
  <c r="T29"/>
  <c r="U29"/>
  <c r="V30"/>
  <c r="O31"/>
  <c r="P31"/>
  <c r="S31"/>
  <c r="T31"/>
  <c r="U31"/>
  <c r="V31"/>
  <c r="R32"/>
  <c r="S32"/>
  <c r="T32"/>
  <c r="U32"/>
  <c r="T35"/>
  <c r="U35"/>
  <c r="P36"/>
  <c r="U36"/>
  <c r="V36"/>
  <c r="O37"/>
  <c r="P37"/>
  <c r="R37"/>
  <c r="S37"/>
  <c r="U37"/>
  <c r="V37"/>
  <c r="O39"/>
  <c r="Q39"/>
  <c r="S39"/>
  <c r="U39"/>
  <c r="V39"/>
  <c r="O40"/>
  <c r="P40"/>
  <c r="Q40"/>
  <c r="R40"/>
  <c r="T40"/>
  <c r="U40"/>
  <c r="V40"/>
  <c r="O42"/>
  <c r="R42"/>
  <c r="S42"/>
  <c r="U42"/>
  <c r="V42"/>
  <c r="R43"/>
  <c r="S43"/>
  <c r="V43"/>
  <c r="O49"/>
  <c r="P49"/>
  <c r="R49"/>
  <c r="S49"/>
  <c r="T49"/>
  <c r="U49"/>
  <c r="V49"/>
  <c r="O45"/>
  <c r="P45"/>
  <c r="Q45"/>
  <c r="R45"/>
  <c r="S45"/>
  <c r="T45"/>
  <c r="U45"/>
  <c r="V45"/>
  <c r="O46"/>
  <c r="P46"/>
  <c r="Q46"/>
  <c r="R46"/>
  <c r="S46"/>
  <c r="T46"/>
  <c r="U46"/>
  <c r="V46"/>
  <c r="O47"/>
  <c r="P47"/>
  <c r="Q47"/>
  <c r="R47"/>
  <c r="S47"/>
  <c r="T47"/>
  <c r="U47"/>
  <c r="V47"/>
  <c r="O41"/>
  <c r="P41"/>
  <c r="Q41"/>
  <c r="R41"/>
  <c r="T41"/>
  <c r="U41"/>
  <c r="V41"/>
  <c r="O50"/>
  <c r="R50"/>
  <c r="U50"/>
  <c r="V50"/>
  <c r="B51"/>
  <c r="B53" s="1"/>
  <c r="C51"/>
  <c r="D51"/>
  <c r="D53" s="1"/>
  <c r="E51"/>
  <c r="F51"/>
  <c r="F53" s="1"/>
  <c r="G51"/>
  <c r="H51"/>
  <c r="H53" s="1"/>
  <c r="I51"/>
  <c r="J51"/>
  <c r="J53" s="1"/>
  <c r="K51"/>
  <c r="L51"/>
  <c r="L53" s="1"/>
  <c r="M51"/>
  <c r="M53" s="1"/>
  <c r="N51"/>
  <c r="N53" s="1"/>
  <c r="Q51"/>
  <c r="G53"/>
  <c r="B102"/>
  <c r="C102"/>
  <c r="C104" s="1"/>
  <c r="D102"/>
  <c r="E102"/>
  <c r="E104" s="1"/>
  <c r="F102"/>
  <c r="G102"/>
  <c r="G104" s="1"/>
  <c r="H102"/>
  <c r="I102"/>
  <c r="I104" s="1"/>
  <c r="J102"/>
  <c r="K102"/>
  <c r="L102"/>
  <c r="M102"/>
  <c r="N102"/>
  <c r="O102"/>
  <c r="O104" s="1"/>
  <c r="P102"/>
  <c r="Q102"/>
  <c r="Q104" s="1"/>
  <c r="R102"/>
  <c r="S102"/>
  <c r="S104" s="1"/>
  <c r="T102"/>
  <c r="U102"/>
  <c r="U104" s="1"/>
  <c r="V102"/>
  <c r="M104"/>
  <c r="K53" l="1"/>
  <c r="C53"/>
  <c r="S51"/>
  <c r="I53"/>
  <c r="E53"/>
  <c r="V104"/>
  <c r="T104"/>
  <c r="R104"/>
  <c r="P104"/>
  <c r="N104"/>
  <c r="N106" s="1"/>
  <c r="L104"/>
  <c r="L106" s="1"/>
  <c r="J104"/>
  <c r="H104"/>
  <c r="F104"/>
  <c r="F106" s="1"/>
  <c r="D104"/>
  <c r="B104"/>
  <c r="B106" s="1"/>
  <c r="U25"/>
  <c r="S25"/>
  <c r="P25"/>
  <c r="X104"/>
  <c r="Z104"/>
  <c r="AD53"/>
  <c r="AD106" s="1"/>
  <c r="V25"/>
  <c r="T25"/>
  <c r="R25"/>
  <c r="O25"/>
  <c r="X25"/>
  <c r="X51"/>
  <c r="AC53"/>
  <c r="AC104"/>
  <c r="Z51"/>
  <c r="M106"/>
  <c r="O51"/>
  <c r="O53" s="1"/>
  <c r="O106" s="1"/>
  <c r="Z25"/>
  <c r="K104"/>
  <c r="K106" s="1"/>
  <c r="Q25"/>
  <c r="Q53" s="1"/>
  <c r="Q106" s="1"/>
  <c r="Y51"/>
  <c r="U51"/>
  <c r="W104"/>
  <c r="AA53"/>
  <c r="AA106" s="1"/>
  <c r="AB104"/>
  <c r="AB106" s="1"/>
  <c r="V51"/>
  <c r="T51"/>
  <c r="R51"/>
  <c r="P51"/>
  <c r="J106"/>
  <c r="D106"/>
  <c r="C106"/>
  <c r="H106"/>
  <c r="I106"/>
  <c r="G106"/>
  <c r="E106"/>
  <c r="P53"/>
  <c r="P106" s="1"/>
  <c r="T53"/>
  <c r="T106" s="1"/>
  <c r="W25"/>
  <c r="W51"/>
  <c r="Y25"/>
  <c r="Y53" s="1"/>
  <c r="Y106" s="1"/>
  <c r="R53" l="1"/>
  <c r="V53"/>
  <c r="U53"/>
  <c r="U106" s="1"/>
  <c r="X53"/>
  <c r="X106" s="1"/>
  <c r="S53"/>
  <c r="S106" s="1"/>
  <c r="R106"/>
  <c r="V106"/>
  <c r="Z53"/>
  <c r="Z106" s="1"/>
  <c r="AC106"/>
  <c r="W53"/>
  <c r="W106" s="1"/>
</calcChain>
</file>

<file path=xl/sharedStrings.xml><?xml version="1.0" encoding="utf-8"?>
<sst xmlns="http://schemas.openxmlformats.org/spreadsheetml/2006/main" count="350" uniqueCount="109">
  <si>
    <t>FALL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</si>
  <si>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</si>
  <si>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</si>
  <si>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</si>
  <si>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</si>
  <si>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</si>
  <si>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</si>
  <si>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</si>
  <si>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</si>
  <si>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</si>
  <si>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</si>
  <si>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</si>
  <si>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</si>
  <si>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</si>
  <si>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</si>
  <si>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</si>
  <si>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</si>
  <si>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</si>
  <si>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</si>
  <si>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</si>
  <si>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</si>
  <si>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</si>
  <si>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</si>
  <si>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</si>
  <si>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</si>
  <si>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</si>
  <si>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</si>
  <si>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</si>
  <si>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</si>
  <si>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</si>
  <si>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</si>
  <si>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</si>
  <si>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</si>
  <si>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</si>
  <si>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</si>
  <si>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</si>
  <si>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</si>
  <si>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</si>
  <si>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</si>
  <si>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</si>
  <si>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</si>
  <si>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MINERAL AREA</t>
  </si>
  <si>
    <t>MOBERLY</t>
  </si>
  <si>
    <t>NORTH CENTRAL</t>
  </si>
  <si>
    <t>STATE FAIR</t>
  </si>
  <si>
    <t>ST. CHARLES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</si>
  <si>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</si>
  <si>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</si>
  <si>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</si>
  <si>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</si>
  <si>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</si>
  <si>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</si>
  <si>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>SOURCE:  DHE02, Supplement to IPEDS EF</t>
  </si>
  <si>
    <t>PRIVATE NOT-FOR-PROFIT (INDEPENDENT) BACCALAUREATE AND HIGHER DEGREE-GRANTING INSTITUTIONS</t>
  </si>
  <si>
    <t xml:space="preserve"> 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</si>
  <si>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</si>
  <si>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</si>
  <si>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</si>
  <si>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</si>
  <si>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</si>
  <si>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</si>
  <si>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</si>
  <si>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</si>
  <si>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</si>
  <si>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</si>
  <si>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</si>
  <si>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</si>
  <si>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</si>
  <si>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</si>
  <si>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</si>
  <si>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</si>
  <si>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</si>
  <si>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</si>
  <si>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</si>
  <si>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</si>
  <si>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</si>
  <si>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</si>
  <si>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</si>
  <si>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</si>
  <si>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</si>
  <si>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KEMPER*</t>
  </si>
  <si>
    <t>*</t>
  </si>
  <si>
    <t>NORTHWEST MISSOURI CC</t>
  </si>
  <si>
    <t>ST. MARY'S</t>
  </si>
  <si>
    <t>WENTWORTH</t>
  </si>
  <si>
    <t>PRIVATE NOT-FOR-PROFIT (INDEPENDENT) TOTAL</t>
  </si>
  <si>
    <t>STATE TOTAL</t>
  </si>
  <si>
    <t>-- indicates that the institution is no longer open.</t>
  </si>
  <si>
    <t>TABLE 48</t>
  </si>
  <si>
    <t>TABLE 47</t>
  </si>
  <si>
    <t>SOURCE:  DHE02, Supplement to IPEDS EF and Enhanced Missouri Student Achievement Study</t>
  </si>
  <si>
    <t>MISSOURI STATE</t>
  </si>
  <si>
    <t>UCM</t>
  </si>
  <si>
    <t>MCC - BLUE RIVER</t>
  </si>
  <si>
    <t>MCC - BUSINESS AND TECHNOLOGY</t>
  </si>
  <si>
    <t>MCC - LONGVIEW</t>
  </si>
  <si>
    <t>MCC - MAPLE WOODS</t>
  </si>
  <si>
    <t>MCC - PENN VALLEY</t>
  </si>
  <si>
    <t>MSU - WEST PLAINS</t>
  </si>
  <si>
    <t>OZARKS TECH</t>
  </si>
  <si>
    <t>ST. LOUIS CC - FLO VALLEY</t>
  </si>
  <si>
    <t>CENTRAL METHODIST - CLAS</t>
  </si>
  <si>
    <t>MISSOURI UNIV. OF SCI. &amp; TECH.</t>
  </si>
  <si>
    <t>ST. LOUIS CC - WILDWOOD</t>
  </si>
  <si>
    <t>MCC - PIONEER</t>
  </si>
  <si>
    <t xml:space="preserve">HISTORICAL TREND IN FIRST-TIME, FULL-TIME </t>
  </si>
  <si>
    <t>DEGREE-SEEKING UNDERGRADUATE HEADCOUNT AT</t>
  </si>
  <si>
    <t>PUBLIC INSTITUTIONS, FALL 1981, FALL 2004-FALL 2009</t>
  </si>
  <si>
    <t>NOT-FOR-PROFIT (INDEPENDENT) INSTITUTIONS, FALL 1981, FALL 2004-FALL 2009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</si>
</sst>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6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7"/>
      <name val="TMS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 applyFont="1" applyAlignment="1"/>
    <xf numFmtId="3" fontId="1" fillId="0" borderId="0" xfId="0" applyNumberFormat="1" applyFont="1" applyFill="1" applyAlignment="1"/>
    <xf numFmtId="0" fontId="1" fillId="0" borderId="0" xfId="0" applyFont="1" applyFill="1" applyAlignment="1"/>
    <xf numFmtId="0" fontId="1" fillId="0" borderId="0" xfId="0" applyNumberFormat="1" applyFont="1" applyFill="1" applyAlignment="1"/>
    <xf numFmtId="0" fontId="2" fillId="0" borderId="0" xfId="0" applyFont="1" applyFill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2" fillId="0" borderId="2" xfId="0" applyFont="1" applyFill="1" applyBorder="1" applyAlignment="1"/>
    <xf numFmtId="0" fontId="1" fillId="0" borderId="3" xfId="0" applyFont="1" applyFill="1" applyBorder="1" applyAlignment="1"/>
    <xf numFmtId="3" fontId="1" fillId="0" borderId="4" xfId="0" applyNumberFormat="1" applyFont="1" applyFill="1" applyBorder="1" applyAlignment="1"/>
    <xf numFmtId="3" fontId="1" fillId="0" borderId="2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/>
    <xf numFmtId="0" fontId="2" fillId="0" borderId="8" xfId="0" applyFont="1" applyFill="1" applyBorder="1" applyAlignment="1"/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3" fillId="0" borderId="0" xfId="0" applyNumberFormat="1" applyFont="1" applyFill="1" applyAlignment="1">
      <alignment horizontal="left" wrapText="1"/>
    </xf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3" fontId="2" fillId="0" borderId="0" xfId="0" applyNumberFormat="1" applyFont="1" applyFill="1" applyAlignment="1"/>
    <xf numFmtId="3" fontId="1" fillId="0" borderId="5" xfId="0" applyNumberFormat="1" applyFont="1" applyFill="1" applyBorder="1" applyAlignment="1"/>
    <xf numFmtId="3" fontId="1" fillId="0" borderId="6" xfId="0" applyNumberFormat="1" applyFont="1" applyFill="1" applyBorder="1" applyAlignment="1"/>
    <xf numFmtId="3" fontId="2" fillId="0" borderId="5" xfId="0" applyNumberFormat="1" applyFont="1" applyFill="1" applyBorder="1" applyAlignment="1"/>
    <xf numFmtId="3" fontId="2" fillId="0" borderId="6" xfId="0" applyNumberFormat="1" applyFont="1" applyFill="1" applyBorder="1" applyAlignment="1"/>
    <xf numFmtId="0" fontId="1" fillId="0" borderId="6" xfId="0" applyNumberFormat="1" applyFont="1" applyFill="1" applyBorder="1" applyAlignment="1"/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/>
    <xf numFmtId="3" fontId="2" fillId="0" borderId="11" xfId="0" applyNumberFormat="1" applyFont="1" applyFill="1" applyBorder="1" applyAlignment="1"/>
    <xf numFmtId="3" fontId="2" fillId="0" borderId="12" xfId="0" applyNumberFormat="1" applyFont="1" applyFill="1" applyBorder="1" applyAlignment="1"/>
    <xf numFmtId="3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1" fillId="0" borderId="8" xfId="0" applyNumberFormat="1" applyFont="1" applyFill="1" applyBorder="1" applyAlignment="1"/>
    <xf numFmtId="0" fontId="1" fillId="0" borderId="8" xfId="0" applyFont="1" applyFill="1" applyBorder="1"/>
    <xf numFmtId="0" fontId="1" fillId="0" borderId="10" xfId="0" applyFont="1" applyFill="1" applyBorder="1"/>
    <xf numFmtId="0" fontId="4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left" wrapText="1"/>
    </xf>
    <xf numFmtId="0" fontId="2" fillId="0" borderId="1" xfId="0" applyFont="1" applyFill="1" applyBorder="1" applyAlignment="1"/>
    <xf numFmtId="3" fontId="1" fillId="0" borderId="0" xfId="0" quotePrefix="1" applyNumberFormat="1" applyFont="1" applyFill="1" applyAlignment="1">
      <alignment horizontal="right"/>
    </xf>
    <xf numFmtId="165" fontId="1" fillId="0" borderId="0" xfId="1" applyNumberFormat="1" applyFont="1"/>
    <xf numFmtId="165" fontId="2" fillId="0" borderId="0" xfId="1" applyNumberFormat="1" applyFont="1" applyFill="1" applyAlignment="1"/>
    <xf numFmtId="165" fontId="1" fillId="0" borderId="0" xfId="1" applyNumberFormat="1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D242"/>
  <sheetViews>
    <sheetView tabSelected="1" showOutlineSymbols="0" view="pageBreakPreview" zoomScale="130" zoomScaleNormal="100" zoomScaleSheetLayoutView="130" workbookViewId="0">
      <selection activeCell="A56" sqref="A56"/>
    </sheetView>
  </sheetViews>
  <sheetFormatPr defaultColWidth="15.796875" defaultRowHeight="11.25"/>
  <cols>
    <col min="1" max="1" width="47.796875" style="2" customWidth="1"/>
    <col min="2" max="2" width="8" style="2" customWidth="1"/>
    <col min="3" max="23" width="8" style="2" hidden="1" customWidth="1"/>
    <col min="24" max="24" width="9" style="2" hidden="1" customWidth="1"/>
    <col min="25" max="25" width="10" style="2" customWidth="1"/>
    <col min="26" max="30" width="9" style="2" customWidth="1"/>
    <col min="31" max="16384" width="15.796875" style="2"/>
  </cols>
  <sheetData>
    <row r="1" spans="1:30" ht="12.75" customHeight="1">
      <c r="A1" s="3" t="s">
        <v>89</v>
      </c>
    </row>
    <row r="2" spans="1:30" ht="12.75" customHeight="1">
      <c r="A2" s="3" t="s">
        <v>105</v>
      </c>
    </row>
    <row r="3" spans="1:30" ht="12.75" customHeight="1">
      <c r="A3" s="3" t="s">
        <v>106</v>
      </c>
    </row>
    <row r="4" spans="1:30" ht="12.75" customHeight="1">
      <c r="A4" s="3" t="s">
        <v>107</v>
      </c>
    </row>
    <row r="5" spans="1:30" ht="12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/>
      <c r="Y5" s="5"/>
      <c r="Z5" s="5"/>
      <c r="AA5" s="5"/>
      <c r="AB5" s="5"/>
      <c r="AC5" s="5"/>
      <c r="AD5" s="5"/>
    </row>
    <row r="6" spans="1:30" ht="12.75" customHeight="1" thickTop="1">
      <c r="A6" s="6"/>
      <c r="B6" s="7"/>
      <c r="C6" s="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9"/>
      <c r="U6" s="10"/>
      <c r="V6" s="9"/>
      <c r="W6" s="10"/>
    </row>
    <row r="7" spans="1:30" ht="12.75" customHeight="1">
      <c r="B7" s="11" t="s">
        <v>0</v>
      </c>
      <c r="C7" s="12" t="s">
        <v>0</v>
      </c>
      <c r="D7" s="13" t="s">
        <v>0</v>
      </c>
      <c r="E7" s="13" t="s">
        <v>0</v>
      </c>
      <c r="F7" s="13" t="s">
        <v>0</v>
      </c>
      <c r="G7" s="13" t="s">
        <v>0</v>
      </c>
      <c r="H7" s="13" t="s">
        <v>0</v>
      </c>
      <c r="I7" s="13" t="s">
        <v>0</v>
      </c>
      <c r="J7" s="13" t="s">
        <v>0</v>
      </c>
      <c r="K7" s="13" t="s">
        <v>0</v>
      </c>
      <c r="L7" s="13" t="s">
        <v>0</v>
      </c>
      <c r="M7" s="13" t="s">
        <v>0</v>
      </c>
      <c r="N7" s="13" t="s">
        <v>0</v>
      </c>
      <c r="O7" s="13" t="s">
        <v>0</v>
      </c>
      <c r="P7" s="13" t="s">
        <v>0</v>
      </c>
      <c r="Q7" s="13" t="s">
        <v>0</v>
      </c>
      <c r="R7" s="13" t="s">
        <v>0</v>
      </c>
      <c r="S7" s="13" t="s">
        <v>0</v>
      </c>
      <c r="T7" s="14" t="s">
        <v>0</v>
      </c>
      <c r="U7" s="13" t="s">
        <v>0</v>
      </c>
      <c r="V7" s="14" t="s">
        <v>0</v>
      </c>
      <c r="W7" s="13" t="s">
        <v>0</v>
      </c>
      <c r="X7" s="13" t="s">
        <v>0</v>
      </c>
      <c r="Y7" s="13" t="s">
        <v>0</v>
      </c>
      <c r="Z7" s="13" t="s">
        <v>0</v>
      </c>
      <c r="AA7" s="13" t="s">
        <v>0</v>
      </c>
      <c r="AB7" s="13" t="s">
        <v>0</v>
      </c>
      <c r="AC7" s="13" t="s">
        <v>0</v>
      </c>
      <c r="AD7" s="13" t="s">
        <v>0</v>
      </c>
    </row>
    <row r="8" spans="1:30" ht="12.75" customHeight="1">
      <c r="A8" s="4"/>
      <c r="B8" s="11" t="s">
        <v>1</v>
      </c>
      <c r="C8" s="15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11" t="s">
        <v>14</v>
      </c>
      <c r="P8" s="11" t="s">
        <v>15</v>
      </c>
      <c r="Q8" s="11" t="s">
        <v>16</v>
      </c>
      <c r="R8" s="11" t="s">
        <v>17</v>
      </c>
      <c r="S8" s="16" t="s">
        <v>18</v>
      </c>
      <c r="T8" s="17" t="s">
        <v>19</v>
      </c>
      <c r="U8" s="16" t="s">
        <v>20</v>
      </c>
      <c r="V8" s="17" t="s">
        <v>21</v>
      </c>
      <c r="W8" s="16">
        <v>2002</v>
      </c>
      <c r="X8" s="18">
        <v>2003</v>
      </c>
      <c r="Y8" s="18">
        <v>2004</v>
      </c>
      <c r="Z8" s="18">
        <v>2005</v>
      </c>
      <c r="AA8" s="18">
        <v>2006</v>
      </c>
      <c r="AB8" s="18">
        <v>2007</v>
      </c>
      <c r="AC8" s="18">
        <v>2008</v>
      </c>
      <c r="AD8" s="18">
        <v>2009</v>
      </c>
    </row>
    <row r="9" spans="1:30" ht="12.75" customHeight="1">
      <c r="A9" s="19"/>
      <c r="B9" s="20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2"/>
      <c r="U9" s="19"/>
      <c r="V9" s="22"/>
      <c r="W9" s="19"/>
    </row>
    <row r="10" spans="1:30" ht="33.75" customHeight="1">
      <c r="A10" s="23" t="s">
        <v>22</v>
      </c>
      <c r="B10" s="4"/>
      <c r="C10" s="24"/>
      <c r="T10" s="25"/>
      <c r="V10" s="25"/>
    </row>
    <row r="11" spans="1:30" ht="12.75" customHeight="1">
      <c r="A11" s="23"/>
      <c r="B11" s="4"/>
      <c r="C11" s="24"/>
      <c r="T11" s="25"/>
      <c r="V11" s="25"/>
    </row>
    <row r="12" spans="1:30" ht="12.75" customHeight="1">
      <c r="A12" s="2" t="s">
        <v>23</v>
      </c>
      <c r="B12" s="26">
        <v>142</v>
      </c>
      <c r="C12" s="27">
        <v>112</v>
      </c>
      <c r="D12" s="1">
        <v>138</v>
      </c>
      <c r="E12" s="1">
        <v>103</v>
      </c>
      <c r="F12" s="1">
        <v>115</v>
      </c>
      <c r="G12" s="1">
        <v>100</v>
      </c>
      <c r="H12" s="1">
        <v>61</v>
      </c>
      <c r="I12" s="1">
        <v>120</v>
      </c>
      <c r="J12" s="1">
        <v>115</v>
      </c>
      <c r="K12" s="1">
        <v>109</v>
      </c>
      <c r="L12" s="2">
        <v>93</v>
      </c>
      <c r="M12" s="1">
        <v>99</v>
      </c>
      <c r="N12" s="2">
        <v>115</v>
      </c>
      <c r="O12" s="1">
        <f>79+5</f>
        <v>84</v>
      </c>
      <c r="P12" s="1">
        <f>78+8</f>
        <v>86</v>
      </c>
      <c r="Q12" s="1">
        <v>83</v>
      </c>
      <c r="R12" s="1">
        <f>94+13</f>
        <v>107</v>
      </c>
      <c r="S12" s="1">
        <f>86+13</f>
        <v>99</v>
      </c>
      <c r="T12" s="28">
        <v>95</v>
      </c>
      <c r="U12" s="3">
        <v>87</v>
      </c>
      <c r="V12" s="28">
        <v>81</v>
      </c>
      <c r="W12" s="1">
        <v>26</v>
      </c>
      <c r="X12" s="1">
        <v>53</v>
      </c>
      <c r="Y12" s="1">
        <f>167+14</f>
        <v>181</v>
      </c>
      <c r="Z12" s="1">
        <f>207+18</f>
        <v>225</v>
      </c>
      <c r="AA12" s="1">
        <v>346</v>
      </c>
      <c r="AB12" s="1">
        <v>376</v>
      </c>
      <c r="AC12" s="1">
        <v>410</v>
      </c>
      <c r="AD12" s="52">
        <v>390</v>
      </c>
    </row>
    <row r="13" spans="1:30" ht="12.75" customHeight="1">
      <c r="A13" s="2" t="s">
        <v>24</v>
      </c>
      <c r="B13" s="26">
        <v>411</v>
      </c>
      <c r="C13" s="27">
        <v>372</v>
      </c>
      <c r="D13" s="1">
        <v>339</v>
      </c>
      <c r="E13" s="1">
        <v>402</v>
      </c>
      <c r="F13" s="1">
        <v>484</v>
      </c>
      <c r="G13" s="1">
        <v>276</v>
      </c>
      <c r="H13" s="1">
        <v>286</v>
      </c>
      <c r="I13" s="1">
        <v>373</v>
      </c>
      <c r="J13" s="1">
        <v>461</v>
      </c>
      <c r="K13" s="1">
        <v>495</v>
      </c>
      <c r="L13" s="2">
        <v>615</v>
      </c>
      <c r="M13" s="1">
        <v>581</v>
      </c>
      <c r="N13" s="1">
        <v>574</v>
      </c>
      <c r="O13" s="1">
        <f>329+68</f>
        <v>397</v>
      </c>
      <c r="P13" s="1">
        <f>376+53</f>
        <v>429</v>
      </c>
      <c r="Q13" s="1">
        <f>361+57</f>
        <v>418</v>
      </c>
      <c r="R13" s="1">
        <f>303+37</f>
        <v>340</v>
      </c>
      <c r="S13" s="1">
        <f>396+56</f>
        <v>452</v>
      </c>
      <c r="T13" s="28">
        <f>433+124</f>
        <v>557</v>
      </c>
      <c r="U13" s="1">
        <f>434+100</f>
        <v>534</v>
      </c>
      <c r="V13" s="28">
        <f>343+126</f>
        <v>469</v>
      </c>
      <c r="W13" s="1">
        <f>322+105</f>
        <v>427</v>
      </c>
      <c r="X13" s="1">
        <f>373+108</f>
        <v>481</v>
      </c>
      <c r="Y13" s="1">
        <f>430+167</f>
        <v>597</v>
      </c>
      <c r="Z13" s="1">
        <f>473+128</f>
        <v>601</v>
      </c>
      <c r="AA13" s="1">
        <v>554</v>
      </c>
      <c r="AB13" s="1">
        <v>578</v>
      </c>
      <c r="AC13" s="1">
        <v>546</v>
      </c>
      <c r="AD13" s="52">
        <v>704</v>
      </c>
    </row>
    <row r="14" spans="1:30" ht="12.75" customHeight="1">
      <c r="A14" s="2" t="s">
        <v>25</v>
      </c>
      <c r="B14" s="26">
        <v>975</v>
      </c>
      <c r="C14" s="27">
        <v>864</v>
      </c>
      <c r="D14" s="1">
        <v>867</v>
      </c>
      <c r="E14" s="1">
        <v>768</v>
      </c>
      <c r="F14" s="1">
        <v>720</v>
      </c>
      <c r="G14" s="1">
        <v>742</v>
      </c>
      <c r="H14" s="1">
        <v>724</v>
      </c>
      <c r="I14" s="1">
        <v>829</v>
      </c>
      <c r="J14" s="1">
        <v>913</v>
      </c>
      <c r="K14" s="1">
        <v>849</v>
      </c>
      <c r="L14" s="2">
        <v>759</v>
      </c>
      <c r="M14" s="1">
        <v>714</v>
      </c>
      <c r="N14" s="2">
        <v>711</v>
      </c>
      <c r="O14" s="1">
        <f>594+44</f>
        <v>638</v>
      </c>
      <c r="P14" s="1">
        <f>657+66</f>
        <v>723</v>
      </c>
      <c r="Q14" s="1">
        <f>616+68</f>
        <v>684</v>
      </c>
      <c r="R14" s="1">
        <f>612+64</f>
        <v>676</v>
      </c>
      <c r="S14" s="1">
        <f>749+108</f>
        <v>857</v>
      </c>
      <c r="T14" s="28">
        <f>707+106</f>
        <v>813</v>
      </c>
      <c r="U14" s="3">
        <f>661+111</f>
        <v>772</v>
      </c>
      <c r="V14" s="28">
        <f>659+127</f>
        <v>786</v>
      </c>
      <c r="W14" s="1">
        <f>529+86</f>
        <v>615</v>
      </c>
      <c r="X14" s="1">
        <f>486+82</f>
        <v>568</v>
      </c>
      <c r="Y14" s="1">
        <f>571+124</f>
        <v>695</v>
      </c>
      <c r="Z14" s="1">
        <f>646+140</f>
        <v>786</v>
      </c>
      <c r="AA14" s="1">
        <v>799</v>
      </c>
      <c r="AB14" s="1">
        <v>766</v>
      </c>
      <c r="AC14" s="1">
        <v>727</v>
      </c>
      <c r="AD14" s="52">
        <v>814</v>
      </c>
    </row>
    <row r="15" spans="1:30" ht="12.75" customHeight="1">
      <c r="A15" s="2" t="s">
        <v>91</v>
      </c>
      <c r="B15" s="26">
        <v>2527</v>
      </c>
      <c r="C15" s="27">
        <v>2522</v>
      </c>
      <c r="D15" s="1">
        <v>2642</v>
      </c>
      <c r="E15" s="1">
        <v>2414</v>
      </c>
      <c r="F15" s="1">
        <v>2602</v>
      </c>
      <c r="G15" s="1">
        <v>2624</v>
      </c>
      <c r="H15" s="1">
        <v>3209</v>
      </c>
      <c r="I15" s="1">
        <v>3462</v>
      </c>
      <c r="J15" s="1">
        <v>3501</v>
      </c>
      <c r="K15" s="1">
        <v>3209</v>
      </c>
      <c r="L15" s="1">
        <v>2897</v>
      </c>
      <c r="M15" s="1">
        <v>2925</v>
      </c>
      <c r="N15" s="1">
        <v>2794</v>
      </c>
      <c r="O15" s="1">
        <f>2550+187</f>
        <v>2737</v>
      </c>
      <c r="P15" s="1">
        <f>2300+180</f>
        <v>2480</v>
      </c>
      <c r="Q15" s="1">
        <f>2270+178</f>
        <v>2448</v>
      </c>
      <c r="R15" s="1">
        <f>2457+256</f>
        <v>2713</v>
      </c>
      <c r="S15" s="1">
        <f>2480+269</f>
        <v>2749</v>
      </c>
      <c r="T15" s="28">
        <f>2329+254</f>
        <v>2583</v>
      </c>
      <c r="U15" s="1">
        <f>2252+247</f>
        <v>2499</v>
      </c>
      <c r="V15" s="28">
        <f>2309+202</f>
        <v>2511</v>
      </c>
      <c r="W15" s="1">
        <f>2467+240</f>
        <v>2707</v>
      </c>
      <c r="X15" s="1">
        <f>2469+206</f>
        <v>2675</v>
      </c>
      <c r="Y15" s="1">
        <f>2481+216</f>
        <v>2697</v>
      </c>
      <c r="Z15" s="1">
        <f>2423+207</f>
        <v>2630</v>
      </c>
      <c r="AA15" s="1">
        <v>2734</v>
      </c>
      <c r="AB15" s="1">
        <v>2613</v>
      </c>
      <c r="AC15" s="1">
        <v>2585</v>
      </c>
      <c r="AD15" s="52">
        <v>2562</v>
      </c>
    </row>
    <row r="16" spans="1:30" ht="12.75" customHeight="1">
      <c r="A16" s="2" t="s">
        <v>102</v>
      </c>
      <c r="B16" s="26">
        <v>1403</v>
      </c>
      <c r="C16" s="27">
        <v>1269</v>
      </c>
      <c r="D16" s="1">
        <v>1107</v>
      </c>
      <c r="E16" s="1">
        <v>885</v>
      </c>
      <c r="F16" s="1">
        <v>829</v>
      </c>
      <c r="G16" s="1">
        <v>750</v>
      </c>
      <c r="H16" s="1">
        <v>812</v>
      </c>
      <c r="I16" s="1">
        <v>833</v>
      </c>
      <c r="J16" s="1">
        <v>805</v>
      </c>
      <c r="K16" s="1">
        <v>713</v>
      </c>
      <c r="L16" s="2">
        <v>711</v>
      </c>
      <c r="M16" s="1">
        <v>808</v>
      </c>
      <c r="N16" s="2">
        <v>787</v>
      </c>
      <c r="O16" s="1">
        <f>540+244</f>
        <v>784</v>
      </c>
      <c r="P16" s="1">
        <f>535+272</f>
        <v>807</v>
      </c>
      <c r="Q16" s="1">
        <v>779</v>
      </c>
      <c r="R16" s="1">
        <f>507+186</f>
        <v>693</v>
      </c>
      <c r="S16" s="1">
        <f>496+225</f>
        <v>721</v>
      </c>
      <c r="T16" s="28">
        <f>508+172</f>
        <v>680</v>
      </c>
      <c r="U16" s="1">
        <f>502+172</f>
        <v>674</v>
      </c>
      <c r="V16" s="28">
        <f>530+163</f>
        <v>693</v>
      </c>
      <c r="W16" s="1">
        <f>594+194</f>
        <v>788</v>
      </c>
      <c r="X16" s="1">
        <f>689+182</f>
        <v>871</v>
      </c>
      <c r="Y16" s="1">
        <f>651+188</f>
        <v>839</v>
      </c>
      <c r="Z16" s="1">
        <f>684+195</f>
        <v>879</v>
      </c>
      <c r="AA16" s="1">
        <v>878</v>
      </c>
      <c r="AB16" s="1">
        <v>965</v>
      </c>
      <c r="AC16" s="1">
        <v>1038</v>
      </c>
      <c r="AD16" s="52">
        <v>1104</v>
      </c>
    </row>
    <row r="17" spans="1:30" ht="12.75" customHeight="1">
      <c r="A17" s="2" t="s">
        <v>26</v>
      </c>
      <c r="B17" s="26">
        <v>804</v>
      </c>
      <c r="C17" s="27">
        <v>741</v>
      </c>
      <c r="D17" s="1">
        <v>746</v>
      </c>
      <c r="E17" s="1">
        <v>675</v>
      </c>
      <c r="F17" s="1">
        <v>604</v>
      </c>
      <c r="G17" s="1">
        <v>527</v>
      </c>
      <c r="H17" s="1">
        <v>630</v>
      </c>
      <c r="I17" s="1">
        <v>674</v>
      </c>
      <c r="J17" s="1">
        <v>696</v>
      </c>
      <c r="K17" s="1">
        <v>778</v>
      </c>
      <c r="L17" s="2">
        <v>809</v>
      </c>
      <c r="M17" s="1">
        <v>795</v>
      </c>
      <c r="N17" s="2">
        <v>848</v>
      </c>
      <c r="O17" s="1">
        <f>873+58</f>
        <v>931</v>
      </c>
      <c r="P17" s="1">
        <f>882+51</f>
        <v>933</v>
      </c>
      <c r="Q17" s="1">
        <f>896+68</f>
        <v>964</v>
      </c>
      <c r="R17" s="1">
        <f>904+91</f>
        <v>995</v>
      </c>
      <c r="S17" s="1">
        <f>905+91</f>
        <v>996</v>
      </c>
      <c r="T17" s="28">
        <f>926+70</f>
        <v>996</v>
      </c>
      <c r="U17" s="3">
        <f>836+80</f>
        <v>916</v>
      </c>
      <c r="V17" s="28">
        <f>1024+76</f>
        <v>1100</v>
      </c>
      <c r="W17" s="1">
        <f>1058+77</f>
        <v>1135</v>
      </c>
      <c r="X17" s="1">
        <f>923+73</f>
        <v>996</v>
      </c>
      <c r="Y17" s="1">
        <f>949+71</f>
        <v>1020</v>
      </c>
      <c r="Z17" s="1">
        <f>944+65</f>
        <v>1009</v>
      </c>
      <c r="AA17" s="1">
        <v>940</v>
      </c>
      <c r="AB17" s="1">
        <v>932</v>
      </c>
      <c r="AC17" s="1">
        <v>959</v>
      </c>
      <c r="AD17" s="52">
        <v>1004</v>
      </c>
    </row>
    <row r="18" spans="1:30" ht="12.75" customHeight="1">
      <c r="A18" s="2" t="s">
        <v>27</v>
      </c>
      <c r="B18" s="26">
        <v>1215</v>
      </c>
      <c r="C18" s="27">
        <v>1249</v>
      </c>
      <c r="D18" s="1">
        <v>1165</v>
      </c>
      <c r="E18" s="1">
        <v>1023</v>
      </c>
      <c r="F18" s="1">
        <v>1072</v>
      </c>
      <c r="G18" s="1">
        <v>989</v>
      </c>
      <c r="H18" s="1">
        <v>1264</v>
      </c>
      <c r="I18" s="1">
        <v>1322</v>
      </c>
      <c r="J18" s="1">
        <v>1414</v>
      </c>
      <c r="K18" s="1">
        <v>1316</v>
      </c>
      <c r="L18" s="1">
        <v>1361</v>
      </c>
      <c r="M18" s="1">
        <v>1214</v>
      </c>
      <c r="N18" s="1">
        <v>1248</v>
      </c>
      <c r="O18" s="1">
        <f>717+567</f>
        <v>1284</v>
      </c>
      <c r="P18" s="1">
        <f>836+427</f>
        <v>1263</v>
      </c>
      <c r="Q18" s="1">
        <f>832+435</f>
        <v>1267</v>
      </c>
      <c r="R18" s="1">
        <f>823+354</f>
        <v>1177</v>
      </c>
      <c r="S18" s="1">
        <f>669+436</f>
        <v>1105</v>
      </c>
      <c r="T18" s="28">
        <f>779+430</f>
        <v>1209</v>
      </c>
      <c r="U18" s="1">
        <f>772+477</f>
        <v>1249</v>
      </c>
      <c r="V18" s="28">
        <f>852+388</f>
        <v>1240</v>
      </c>
      <c r="W18" s="1">
        <f>791+400</f>
        <v>1191</v>
      </c>
      <c r="X18" s="1">
        <f>846+356</f>
        <v>1202</v>
      </c>
      <c r="Y18" s="1">
        <f>855+371</f>
        <v>1226</v>
      </c>
      <c r="Z18" s="1">
        <f>977+352</f>
        <v>1329</v>
      </c>
      <c r="AA18" s="1">
        <v>1265</v>
      </c>
      <c r="AB18" s="1">
        <v>1520</v>
      </c>
      <c r="AC18" s="1">
        <v>1523</v>
      </c>
      <c r="AD18" s="52">
        <v>1552</v>
      </c>
    </row>
    <row r="19" spans="1:30" ht="12.75" customHeight="1">
      <c r="A19" s="2" t="s">
        <v>28</v>
      </c>
      <c r="B19" s="26">
        <v>1935</v>
      </c>
      <c r="C19" s="27">
        <v>1805</v>
      </c>
      <c r="D19" s="1">
        <v>1786</v>
      </c>
      <c r="E19" s="1">
        <v>1697</v>
      </c>
      <c r="F19" s="1">
        <v>1697</v>
      </c>
      <c r="G19" s="1">
        <v>1540</v>
      </c>
      <c r="H19" s="1">
        <v>1535</v>
      </c>
      <c r="I19" s="1">
        <v>1653</v>
      </c>
      <c r="J19" s="1">
        <v>1637</v>
      </c>
      <c r="K19" s="1">
        <v>1566</v>
      </c>
      <c r="L19" s="1">
        <v>1488</v>
      </c>
      <c r="M19" s="1">
        <v>1408</v>
      </c>
      <c r="N19" s="1">
        <v>1229</v>
      </c>
      <c r="O19" s="1">
        <f>955+196</f>
        <v>1151</v>
      </c>
      <c r="P19" s="1">
        <f>1126+259</f>
        <v>1385</v>
      </c>
      <c r="Q19" s="1">
        <f>1040+172</f>
        <v>1212</v>
      </c>
      <c r="R19" s="1">
        <f>975+149</f>
        <v>1124</v>
      </c>
      <c r="S19" s="1">
        <f>1052+188</f>
        <v>1240</v>
      </c>
      <c r="T19" s="28">
        <f>1185+210</f>
        <v>1395</v>
      </c>
      <c r="U19" s="1">
        <f>1173+263</f>
        <v>1436</v>
      </c>
      <c r="V19" s="28">
        <f>1306+199</f>
        <v>1505</v>
      </c>
      <c r="W19" s="1">
        <f>1234+224</f>
        <v>1458</v>
      </c>
      <c r="X19" s="1">
        <f>1201+210</f>
        <v>1411</v>
      </c>
      <c r="Y19" s="1">
        <f>1187+205</f>
        <v>1392</v>
      </c>
      <c r="Z19" s="1">
        <f>1348+196</f>
        <v>1544</v>
      </c>
      <c r="AA19" s="1">
        <v>1388</v>
      </c>
      <c r="AB19" s="1">
        <v>1651</v>
      </c>
      <c r="AC19" s="1">
        <v>1679</v>
      </c>
      <c r="AD19" s="52">
        <v>1644</v>
      </c>
    </row>
    <row r="20" spans="1:30" ht="12.75" customHeight="1">
      <c r="A20" s="2" t="s">
        <v>29</v>
      </c>
      <c r="B20" s="26">
        <v>1482</v>
      </c>
      <c r="C20" s="27">
        <v>1598</v>
      </c>
      <c r="D20" s="1">
        <v>1516</v>
      </c>
      <c r="E20" s="1">
        <v>1556</v>
      </c>
      <c r="F20" s="1">
        <v>1356</v>
      </c>
      <c r="G20" s="1">
        <v>1678</v>
      </c>
      <c r="H20" s="1">
        <v>1458</v>
      </c>
      <c r="I20" s="1">
        <v>1599</v>
      </c>
      <c r="J20" s="1">
        <v>1598</v>
      </c>
      <c r="K20" s="1">
        <v>1294</v>
      </c>
      <c r="L20" s="1">
        <v>1394</v>
      </c>
      <c r="M20" s="1">
        <v>1395</v>
      </c>
      <c r="N20" s="1">
        <v>1617</v>
      </c>
      <c r="O20" s="1">
        <f>1079+464</f>
        <v>1543</v>
      </c>
      <c r="P20" s="1">
        <f>1114+384</f>
        <v>1498</v>
      </c>
      <c r="Q20" s="1">
        <f>1060+408</f>
        <v>1468</v>
      </c>
      <c r="R20" s="1">
        <f>1195+461</f>
        <v>1656</v>
      </c>
      <c r="S20" s="1">
        <f>1093+390</f>
        <v>1483</v>
      </c>
      <c r="T20" s="28">
        <f>1070+384</f>
        <v>1454</v>
      </c>
      <c r="U20" s="1">
        <f>1035+365</f>
        <v>1400</v>
      </c>
      <c r="V20" s="28">
        <f>1064+394</f>
        <v>1458</v>
      </c>
      <c r="W20" s="1">
        <f>1040+405</f>
        <v>1445</v>
      </c>
      <c r="X20" s="1">
        <f>959+353</f>
        <v>1312</v>
      </c>
      <c r="Y20" s="1">
        <f>1130+348</f>
        <v>1478</v>
      </c>
      <c r="Z20" s="1">
        <f>1064+378</f>
        <v>1442</v>
      </c>
      <c r="AA20" s="1">
        <v>1365</v>
      </c>
      <c r="AB20" s="1">
        <v>1404</v>
      </c>
      <c r="AC20" s="1">
        <v>1334</v>
      </c>
      <c r="AD20" s="52">
        <v>1339</v>
      </c>
    </row>
    <row r="21" spans="1:30" ht="12.75" customHeight="1">
      <c r="A21" s="2" t="s">
        <v>92</v>
      </c>
      <c r="B21" s="26">
        <v>2186</v>
      </c>
      <c r="C21" s="27">
        <v>1884</v>
      </c>
      <c r="D21" s="1">
        <v>1798</v>
      </c>
      <c r="E21" s="1">
        <v>1668</v>
      </c>
      <c r="F21" s="1">
        <v>1738</v>
      </c>
      <c r="G21" s="1">
        <v>1750</v>
      </c>
      <c r="H21" s="1">
        <v>2071</v>
      </c>
      <c r="I21" s="1">
        <v>2204</v>
      </c>
      <c r="J21" s="1">
        <v>2365</v>
      </c>
      <c r="K21" s="1">
        <v>1941</v>
      </c>
      <c r="L21" s="1">
        <v>1957</v>
      </c>
      <c r="M21" s="1">
        <v>1766</v>
      </c>
      <c r="N21" s="1">
        <v>1436</v>
      </c>
      <c r="O21" s="1">
        <f>1228+120</f>
        <v>1348</v>
      </c>
      <c r="P21" s="1">
        <f>1336+93</f>
        <v>1429</v>
      </c>
      <c r="Q21" s="1">
        <f>1150+105</f>
        <v>1255</v>
      </c>
      <c r="R21" s="1">
        <f>1217+108</f>
        <v>1325</v>
      </c>
      <c r="S21" s="1">
        <f>1277+131</f>
        <v>1408</v>
      </c>
      <c r="T21" s="28">
        <f>1188+141</f>
        <v>1329</v>
      </c>
      <c r="U21" s="1">
        <f>1345+111</f>
        <v>1456</v>
      </c>
      <c r="V21" s="28">
        <f>1282+156</f>
        <v>1438</v>
      </c>
      <c r="W21" s="1">
        <f>1115+133</f>
        <v>1248</v>
      </c>
      <c r="X21" s="1">
        <f>1218+140</f>
        <v>1358</v>
      </c>
      <c r="Y21" s="1">
        <f>1304+130</f>
        <v>1434</v>
      </c>
      <c r="Z21" s="1">
        <f>1332+169</f>
        <v>1501</v>
      </c>
      <c r="AA21" s="1">
        <v>1545</v>
      </c>
      <c r="AB21" s="1">
        <v>1495</v>
      </c>
      <c r="AC21" s="1">
        <v>1586</v>
      </c>
      <c r="AD21" s="52">
        <v>1479</v>
      </c>
    </row>
    <row r="22" spans="1:30" ht="12.75" customHeight="1">
      <c r="A22" s="2" t="s">
        <v>30</v>
      </c>
      <c r="B22" s="26">
        <v>4193</v>
      </c>
      <c r="C22" s="27">
        <v>4109</v>
      </c>
      <c r="D22" s="1">
        <v>3706</v>
      </c>
      <c r="E22" s="1">
        <v>3632</v>
      </c>
      <c r="F22" s="1">
        <v>3590</v>
      </c>
      <c r="G22" s="1">
        <v>3460</v>
      </c>
      <c r="H22" s="1">
        <v>3685</v>
      </c>
      <c r="I22" s="1">
        <v>3985</v>
      </c>
      <c r="J22" s="1">
        <v>3964</v>
      </c>
      <c r="K22" s="1">
        <v>3812</v>
      </c>
      <c r="L22" s="1">
        <v>3370</v>
      </c>
      <c r="M22" s="1">
        <v>2909</v>
      </c>
      <c r="N22" s="1">
        <v>2901</v>
      </c>
      <c r="O22" s="1">
        <f>3041+547</f>
        <v>3588</v>
      </c>
      <c r="P22" s="1">
        <f>3174+616</f>
        <v>3790</v>
      </c>
      <c r="Q22" s="1">
        <f>3094+603</f>
        <v>3697</v>
      </c>
      <c r="R22" s="1">
        <f>2915+599</f>
        <v>3514</v>
      </c>
      <c r="S22" s="1">
        <f>3105+682</f>
        <v>3787</v>
      </c>
      <c r="T22" s="28">
        <f>3174+703</f>
        <v>3877</v>
      </c>
      <c r="U22" s="1">
        <f>3485+689</f>
        <v>4174</v>
      </c>
      <c r="V22" s="28">
        <f>3396+717</f>
        <v>4113</v>
      </c>
      <c r="W22" s="1">
        <f>3637+746</f>
        <v>4383</v>
      </c>
      <c r="X22" s="1">
        <f>3837+770</f>
        <v>4607</v>
      </c>
      <c r="Y22" s="1">
        <f>3777+854</f>
        <v>4631</v>
      </c>
      <c r="Z22" s="1">
        <f>3718+945</f>
        <v>4663</v>
      </c>
      <c r="AA22" s="1">
        <v>4584</v>
      </c>
      <c r="AB22" s="1">
        <v>4684</v>
      </c>
      <c r="AC22" s="1">
        <v>5702</v>
      </c>
      <c r="AD22" s="52">
        <v>5499</v>
      </c>
    </row>
    <row r="23" spans="1:30" ht="12.75" customHeight="1">
      <c r="A23" s="2" t="s">
        <v>31</v>
      </c>
      <c r="B23" s="26">
        <v>722</v>
      </c>
      <c r="C23" s="27">
        <v>724</v>
      </c>
      <c r="D23" s="1">
        <v>621</v>
      </c>
      <c r="E23" s="1">
        <v>623</v>
      </c>
      <c r="F23" s="1">
        <v>679</v>
      </c>
      <c r="G23" s="1">
        <v>637</v>
      </c>
      <c r="H23" s="1">
        <v>640</v>
      </c>
      <c r="I23" s="1">
        <v>668</v>
      </c>
      <c r="J23" s="1">
        <v>664</v>
      </c>
      <c r="K23" s="1">
        <v>608</v>
      </c>
      <c r="L23" s="2">
        <v>497</v>
      </c>
      <c r="M23" s="1">
        <v>479</v>
      </c>
      <c r="N23" s="2">
        <v>516</v>
      </c>
      <c r="O23" s="1">
        <f>393+112</f>
        <v>505</v>
      </c>
      <c r="P23" s="1">
        <f>445+123</f>
        <v>568</v>
      </c>
      <c r="Q23" s="1">
        <f>451+118</f>
        <v>569</v>
      </c>
      <c r="R23" s="1">
        <f>468+120</f>
        <v>588</v>
      </c>
      <c r="S23" s="1">
        <f>490+128</f>
        <v>618</v>
      </c>
      <c r="T23" s="28">
        <f>514+126</f>
        <v>640</v>
      </c>
      <c r="U23" s="1">
        <f>560+129</f>
        <v>689</v>
      </c>
      <c r="V23" s="28">
        <f>589+148</f>
        <v>737</v>
      </c>
      <c r="W23" s="1">
        <f>588+164</f>
        <v>752</v>
      </c>
      <c r="X23" s="1">
        <f>589+176</f>
        <v>765</v>
      </c>
      <c r="Y23" s="1">
        <f>702+204</f>
        <v>906</v>
      </c>
      <c r="Z23" s="1">
        <f>807+209</f>
        <v>1016</v>
      </c>
      <c r="AA23" s="1">
        <v>912</v>
      </c>
      <c r="AB23" s="1">
        <v>901</v>
      </c>
      <c r="AC23" s="1">
        <v>975</v>
      </c>
      <c r="AD23" s="52">
        <v>979</v>
      </c>
    </row>
    <row r="24" spans="1:30" ht="12.75" customHeight="1">
      <c r="A24" s="2" t="s">
        <v>32</v>
      </c>
      <c r="B24" s="26">
        <v>1092</v>
      </c>
      <c r="C24" s="27">
        <v>1009</v>
      </c>
      <c r="D24" s="1">
        <v>977</v>
      </c>
      <c r="E24" s="1">
        <v>915</v>
      </c>
      <c r="F24" s="1">
        <v>834</v>
      </c>
      <c r="G24" s="1">
        <v>813</v>
      </c>
      <c r="H24" s="1">
        <v>818</v>
      </c>
      <c r="I24" s="1">
        <v>838</v>
      </c>
      <c r="J24" s="1">
        <v>819</v>
      </c>
      <c r="K24" s="1">
        <v>802</v>
      </c>
      <c r="L24" s="2">
        <v>637</v>
      </c>
      <c r="M24" s="1">
        <v>475</v>
      </c>
      <c r="N24" s="2">
        <v>458</v>
      </c>
      <c r="O24" s="1">
        <f>496+34</f>
        <v>530</v>
      </c>
      <c r="P24" s="1">
        <f>519+33</f>
        <v>552</v>
      </c>
      <c r="Q24" s="1">
        <v>632</v>
      </c>
      <c r="R24" s="1">
        <f>423+35</f>
        <v>458</v>
      </c>
      <c r="S24" s="1">
        <f>498+31</f>
        <v>529</v>
      </c>
      <c r="T24" s="28">
        <f>494+45</f>
        <v>539</v>
      </c>
      <c r="U24" s="1">
        <f>446+52</f>
        <v>498</v>
      </c>
      <c r="V24" s="28">
        <f>455+61</f>
        <v>516</v>
      </c>
      <c r="W24" s="1">
        <f>368+58</f>
        <v>426</v>
      </c>
      <c r="X24" s="1">
        <f>408+58</f>
        <v>466</v>
      </c>
      <c r="Y24" s="1">
        <f>342+57</f>
        <v>399</v>
      </c>
      <c r="Z24" s="1">
        <f>431+67</f>
        <v>498</v>
      </c>
      <c r="AA24" s="1">
        <v>464</v>
      </c>
      <c r="AB24" s="1">
        <v>451</v>
      </c>
      <c r="AC24" s="1">
        <v>438</v>
      </c>
      <c r="AD24" s="52">
        <v>494</v>
      </c>
    </row>
    <row r="25" spans="1:30" ht="12.75" customHeight="1">
      <c r="A25" s="2" t="s">
        <v>33</v>
      </c>
      <c r="B25" s="26">
        <f t="shared" ref="B25:Z25" si="0">SUM(B12:B24)</f>
        <v>19087</v>
      </c>
      <c r="C25" s="29">
        <f t="shared" si="0"/>
        <v>18258</v>
      </c>
      <c r="D25" s="26">
        <f t="shared" si="0"/>
        <v>17408</v>
      </c>
      <c r="E25" s="26">
        <f t="shared" si="0"/>
        <v>16361</v>
      </c>
      <c r="F25" s="26">
        <f t="shared" si="0"/>
        <v>16320</v>
      </c>
      <c r="G25" s="26">
        <f t="shared" si="0"/>
        <v>15886</v>
      </c>
      <c r="H25" s="26">
        <f t="shared" si="0"/>
        <v>17193</v>
      </c>
      <c r="I25" s="26">
        <f t="shared" si="0"/>
        <v>18560</v>
      </c>
      <c r="J25" s="26">
        <f t="shared" si="0"/>
        <v>18952</v>
      </c>
      <c r="K25" s="26">
        <f t="shared" si="0"/>
        <v>17492</v>
      </c>
      <c r="L25" s="26">
        <f t="shared" si="0"/>
        <v>16588</v>
      </c>
      <c r="M25" s="26">
        <f t="shared" si="0"/>
        <v>15568</v>
      </c>
      <c r="N25" s="26">
        <f t="shared" si="0"/>
        <v>15234</v>
      </c>
      <c r="O25" s="26">
        <f t="shared" si="0"/>
        <v>15520</v>
      </c>
      <c r="P25" s="26">
        <f t="shared" si="0"/>
        <v>15943</v>
      </c>
      <c r="Q25" s="26">
        <f t="shared" si="0"/>
        <v>15476</v>
      </c>
      <c r="R25" s="26">
        <f t="shared" si="0"/>
        <v>15366</v>
      </c>
      <c r="S25" s="26">
        <f t="shared" si="0"/>
        <v>16044</v>
      </c>
      <c r="T25" s="30">
        <f t="shared" si="0"/>
        <v>16167</v>
      </c>
      <c r="U25" s="26">
        <f t="shared" si="0"/>
        <v>16384</v>
      </c>
      <c r="V25" s="30">
        <f t="shared" si="0"/>
        <v>16647</v>
      </c>
      <c r="W25" s="26">
        <f t="shared" si="0"/>
        <v>16601</v>
      </c>
      <c r="X25" s="26">
        <f t="shared" si="0"/>
        <v>16765</v>
      </c>
      <c r="Y25" s="26">
        <f t="shared" si="0"/>
        <v>17495</v>
      </c>
      <c r="Z25" s="26">
        <f t="shared" si="0"/>
        <v>18123</v>
      </c>
      <c r="AA25" s="26">
        <f>SUM(AA12:AA24)</f>
        <v>17774</v>
      </c>
      <c r="AB25" s="26">
        <f>SUM(AB12:AB24)</f>
        <v>18336</v>
      </c>
      <c r="AC25" s="26">
        <f>SUM(AC12:AC24)</f>
        <v>19502</v>
      </c>
      <c r="AD25" s="53">
        <f>SUM(AD12:AD24)</f>
        <v>19564</v>
      </c>
    </row>
    <row r="26" spans="1:30" ht="12.75" customHeight="1">
      <c r="B26" s="26"/>
      <c r="C26" s="27"/>
      <c r="D26" s="1"/>
      <c r="E26" s="1"/>
      <c r="F26" s="1"/>
      <c r="G26" s="1"/>
      <c r="H26" s="1"/>
      <c r="I26" s="1"/>
      <c r="J26" s="1"/>
      <c r="K26" s="1"/>
      <c r="O26" s="1"/>
      <c r="P26" s="1"/>
      <c r="Q26" s="1"/>
      <c r="R26" s="1"/>
      <c r="S26" s="1"/>
      <c r="T26" s="28"/>
      <c r="U26" s="1"/>
      <c r="V26" s="25"/>
      <c r="Y26" s="1"/>
    </row>
    <row r="27" spans="1:30" ht="27" customHeight="1">
      <c r="A27" s="23" t="s">
        <v>34</v>
      </c>
      <c r="B27" s="26"/>
      <c r="C27" s="27"/>
      <c r="D27" s="1"/>
      <c r="E27" s="1"/>
      <c r="F27" s="1"/>
      <c r="G27" s="1"/>
      <c r="H27" s="1"/>
      <c r="I27" s="1"/>
      <c r="J27" s="1"/>
      <c r="K27" s="1"/>
      <c r="O27" s="1"/>
      <c r="P27" s="1"/>
      <c r="Q27" s="1"/>
      <c r="R27" s="1"/>
      <c r="S27" s="1"/>
      <c r="T27" s="28"/>
      <c r="U27" s="1"/>
      <c r="V27" s="25"/>
      <c r="Y27" s="1"/>
    </row>
    <row r="28" spans="1:30" ht="12.75" customHeight="1">
      <c r="A28" s="23"/>
      <c r="B28" s="26"/>
      <c r="C28" s="27"/>
      <c r="D28" s="1"/>
      <c r="E28" s="1"/>
      <c r="F28" s="1"/>
      <c r="G28" s="1"/>
      <c r="H28" s="1"/>
      <c r="I28" s="1"/>
      <c r="J28" s="1"/>
      <c r="K28" s="1"/>
      <c r="O28" s="1"/>
      <c r="P28" s="1"/>
      <c r="Q28" s="1"/>
      <c r="R28" s="1"/>
      <c r="S28" s="1"/>
      <c r="T28" s="28"/>
      <c r="U28" s="1"/>
      <c r="V28" s="25"/>
      <c r="Y28" s="1"/>
    </row>
    <row r="29" spans="1:30" ht="12.75" customHeight="1">
      <c r="A29" s="2" t="s">
        <v>35</v>
      </c>
      <c r="B29" s="26">
        <v>282</v>
      </c>
      <c r="C29" s="27">
        <v>375</v>
      </c>
      <c r="D29" s="1">
        <v>355</v>
      </c>
      <c r="E29" s="1">
        <v>258</v>
      </c>
      <c r="F29" s="1">
        <v>325</v>
      </c>
      <c r="G29" s="1">
        <v>216</v>
      </c>
      <c r="H29" s="1">
        <v>267</v>
      </c>
      <c r="I29" s="1">
        <v>185</v>
      </c>
      <c r="J29" s="1">
        <v>233</v>
      </c>
      <c r="K29" s="1">
        <v>292</v>
      </c>
      <c r="L29" s="2">
        <v>301</v>
      </c>
      <c r="M29" s="2">
        <v>304</v>
      </c>
      <c r="N29" s="2">
        <v>220</v>
      </c>
      <c r="O29" s="1">
        <f>148+24</f>
        <v>172</v>
      </c>
      <c r="P29" s="1">
        <f>161+25</f>
        <v>186</v>
      </c>
      <c r="Q29" s="1">
        <f>226+23</f>
        <v>249</v>
      </c>
      <c r="R29" s="1">
        <f>180+28</f>
        <v>208</v>
      </c>
      <c r="S29" s="1">
        <f>199+22</f>
        <v>221</v>
      </c>
      <c r="T29" s="28">
        <f>227+29</f>
        <v>256</v>
      </c>
      <c r="U29" s="1">
        <f>230+13</f>
        <v>243</v>
      </c>
      <c r="V29" s="31">
        <v>268</v>
      </c>
      <c r="W29" s="3">
        <f>161+192+13</f>
        <v>366</v>
      </c>
      <c r="X29" s="1">
        <f>572+28</f>
        <v>600</v>
      </c>
      <c r="Y29" s="1">
        <f>560+19</f>
        <v>579</v>
      </c>
      <c r="Z29" s="1">
        <f>501+54</f>
        <v>555</v>
      </c>
      <c r="AA29" s="1">
        <v>595</v>
      </c>
      <c r="AB29" s="1">
        <v>706</v>
      </c>
      <c r="AC29" s="1">
        <v>698</v>
      </c>
      <c r="AD29" s="54" t="s">
        <v>39</v>
      </c>
    </row>
    <row r="30" spans="1:30" ht="12.75" customHeight="1">
      <c r="A30" s="2" t="s">
        <v>36</v>
      </c>
      <c r="B30" s="26">
        <v>358</v>
      </c>
      <c r="C30" s="27">
        <v>347</v>
      </c>
      <c r="D30" s="1">
        <v>355</v>
      </c>
      <c r="E30" s="1">
        <v>352</v>
      </c>
      <c r="F30" s="1">
        <v>414</v>
      </c>
      <c r="G30" s="1">
        <v>399</v>
      </c>
      <c r="H30" s="1">
        <v>330</v>
      </c>
      <c r="I30" s="1">
        <v>363</v>
      </c>
      <c r="J30" s="1">
        <v>344</v>
      </c>
      <c r="K30" s="1">
        <v>260</v>
      </c>
      <c r="L30" s="2">
        <v>352</v>
      </c>
      <c r="M30" s="2">
        <v>427</v>
      </c>
      <c r="N30" s="2">
        <v>361</v>
      </c>
      <c r="O30" s="1">
        <v>346</v>
      </c>
      <c r="P30" s="1">
        <v>307</v>
      </c>
      <c r="Q30" s="1">
        <v>334</v>
      </c>
      <c r="R30" s="1">
        <v>327</v>
      </c>
      <c r="S30" s="1">
        <v>384</v>
      </c>
      <c r="T30" s="28">
        <v>326</v>
      </c>
      <c r="U30" s="1">
        <v>363</v>
      </c>
      <c r="V30" s="31">
        <f>484+4</f>
        <v>488</v>
      </c>
      <c r="W30" s="3">
        <f>367+205</f>
        <v>572</v>
      </c>
      <c r="X30" s="1">
        <f>323+215+6</f>
        <v>544</v>
      </c>
      <c r="Y30" s="1">
        <f>395+130+5</f>
        <v>530</v>
      </c>
      <c r="Z30" s="1">
        <f>331+159+3</f>
        <v>493</v>
      </c>
      <c r="AA30" s="1">
        <v>660</v>
      </c>
      <c r="AB30" s="1">
        <v>566</v>
      </c>
      <c r="AC30" s="1">
        <v>582</v>
      </c>
      <c r="AD30" s="52">
        <v>782</v>
      </c>
    </row>
    <row r="31" spans="1:30" ht="12.75" customHeight="1">
      <c r="A31" s="2" t="s">
        <v>37</v>
      </c>
      <c r="B31" s="26">
        <v>494</v>
      </c>
      <c r="C31" s="27">
        <v>492</v>
      </c>
      <c r="D31" s="1">
        <v>599</v>
      </c>
      <c r="E31" s="1">
        <v>614</v>
      </c>
      <c r="F31" s="1">
        <v>627</v>
      </c>
      <c r="G31" s="1">
        <v>430</v>
      </c>
      <c r="H31" s="1">
        <v>459</v>
      </c>
      <c r="I31" s="1">
        <v>506</v>
      </c>
      <c r="J31" s="1">
        <v>525</v>
      </c>
      <c r="K31" s="1">
        <v>543</v>
      </c>
      <c r="L31" s="2">
        <v>488</v>
      </c>
      <c r="M31" s="2">
        <v>612</v>
      </c>
      <c r="N31" s="2">
        <v>647</v>
      </c>
      <c r="O31" s="1">
        <f>585+6</f>
        <v>591</v>
      </c>
      <c r="P31" s="1">
        <f>637+11</f>
        <v>648</v>
      </c>
      <c r="Q31" s="1">
        <v>749</v>
      </c>
      <c r="R31" s="1">
        <v>636</v>
      </c>
      <c r="S31" s="1">
        <f>753+12</f>
        <v>765</v>
      </c>
      <c r="T31" s="28">
        <f>763+13</f>
        <v>776</v>
      </c>
      <c r="U31" s="1">
        <f>773+15</f>
        <v>788</v>
      </c>
      <c r="V31" s="31">
        <f>761+17</f>
        <v>778</v>
      </c>
      <c r="W31" s="3">
        <f>668+131+19</f>
        <v>818</v>
      </c>
      <c r="X31" s="1">
        <f>685+137+14</f>
        <v>836</v>
      </c>
      <c r="Y31" s="1">
        <f>656+175+15</f>
        <v>846</v>
      </c>
      <c r="Z31" s="1">
        <f>722+128+35</f>
        <v>885</v>
      </c>
      <c r="AA31" s="1">
        <v>903</v>
      </c>
      <c r="AB31" s="1">
        <v>1060</v>
      </c>
      <c r="AC31" s="1">
        <v>977</v>
      </c>
      <c r="AD31" s="52">
        <v>1155</v>
      </c>
    </row>
    <row r="32" spans="1:30" ht="12.75" customHeight="1">
      <c r="A32" s="2" t="s">
        <v>38</v>
      </c>
      <c r="B32" s="32" t="s">
        <v>39</v>
      </c>
      <c r="C32" s="27"/>
      <c r="D32" s="1"/>
      <c r="E32" s="1"/>
      <c r="F32" s="1"/>
      <c r="G32" s="33" t="s">
        <v>39</v>
      </c>
      <c r="H32" s="33" t="s">
        <v>39</v>
      </c>
      <c r="I32" s="33" t="s">
        <v>39</v>
      </c>
      <c r="J32" s="33" t="s">
        <v>39</v>
      </c>
      <c r="K32" s="33" t="s">
        <v>39</v>
      </c>
      <c r="L32" s="33" t="s">
        <v>39</v>
      </c>
      <c r="M32" s="33" t="s">
        <v>39</v>
      </c>
      <c r="N32" s="33" t="s">
        <v>39</v>
      </c>
      <c r="O32" s="33" t="s">
        <v>39</v>
      </c>
      <c r="P32" s="33" t="s">
        <v>39</v>
      </c>
      <c r="Q32" s="1">
        <v>296</v>
      </c>
      <c r="R32" s="1">
        <f>317+9</f>
        <v>326</v>
      </c>
      <c r="S32" s="1">
        <f>341+4</f>
        <v>345</v>
      </c>
      <c r="T32" s="28">
        <f>316+6</f>
        <v>322</v>
      </c>
      <c r="U32" s="3">
        <f>332+5</f>
        <v>337</v>
      </c>
      <c r="V32" s="31">
        <v>373</v>
      </c>
      <c r="W32" s="3">
        <f>372+6+38</f>
        <v>416</v>
      </c>
      <c r="X32" s="1">
        <v>362</v>
      </c>
      <c r="Y32" s="1">
        <f>313+4</f>
        <v>317</v>
      </c>
      <c r="Z32" s="1">
        <f>371+4</f>
        <v>375</v>
      </c>
      <c r="AA32" s="1">
        <v>399</v>
      </c>
      <c r="AB32" s="1">
        <v>387</v>
      </c>
      <c r="AC32" s="1">
        <v>456</v>
      </c>
      <c r="AD32" s="52">
        <v>478</v>
      </c>
    </row>
    <row r="33" spans="1:30" ht="12.75" customHeight="1">
      <c r="A33" s="2" t="s">
        <v>93</v>
      </c>
      <c r="B33" s="32" t="s">
        <v>40</v>
      </c>
      <c r="C33" s="1"/>
      <c r="D33" s="1"/>
      <c r="E33" s="1"/>
      <c r="F33" s="1"/>
      <c r="G33" s="1"/>
      <c r="H33" s="1"/>
      <c r="I33" s="1"/>
      <c r="J33" s="1"/>
      <c r="K33" s="1"/>
      <c r="O33" s="1"/>
      <c r="P33" s="1"/>
      <c r="Q33" s="33" t="s">
        <v>40</v>
      </c>
      <c r="R33" s="33" t="s">
        <v>40</v>
      </c>
      <c r="S33" s="33" t="s">
        <v>40</v>
      </c>
      <c r="T33" s="34" t="s">
        <v>40</v>
      </c>
      <c r="U33" s="1">
        <v>173</v>
      </c>
      <c r="V33" s="31">
        <v>191</v>
      </c>
      <c r="W33" s="3">
        <v>203</v>
      </c>
      <c r="X33" s="1">
        <f>209+50</f>
        <v>259</v>
      </c>
      <c r="Y33" s="1">
        <f>193+36</f>
        <v>229</v>
      </c>
      <c r="Z33" s="1">
        <f>272+43</f>
        <v>315</v>
      </c>
      <c r="AA33" s="1">
        <v>417</v>
      </c>
      <c r="AB33" s="1">
        <v>399</v>
      </c>
      <c r="AC33" s="1">
        <v>477</v>
      </c>
      <c r="AD33" s="52">
        <v>540</v>
      </c>
    </row>
    <row r="34" spans="1:30" ht="12.75" customHeight="1">
      <c r="A34" s="2" t="s">
        <v>94</v>
      </c>
      <c r="B34" s="32" t="s">
        <v>40</v>
      </c>
      <c r="C34" s="35" t="s">
        <v>40</v>
      </c>
      <c r="D34" s="32" t="s">
        <v>40</v>
      </c>
      <c r="E34" s="32" t="s">
        <v>40</v>
      </c>
      <c r="F34" s="32" t="s">
        <v>40</v>
      </c>
      <c r="G34" s="32" t="s">
        <v>40</v>
      </c>
      <c r="H34" s="32" t="s">
        <v>40</v>
      </c>
      <c r="I34" s="32" t="s">
        <v>40</v>
      </c>
      <c r="J34" s="32" t="s">
        <v>40</v>
      </c>
      <c r="K34" s="32" t="s">
        <v>40</v>
      </c>
      <c r="L34" s="32" t="s">
        <v>40</v>
      </c>
      <c r="M34" s="32" t="s">
        <v>40</v>
      </c>
      <c r="N34" s="32" t="s">
        <v>40</v>
      </c>
      <c r="O34" s="32" t="s">
        <v>40</v>
      </c>
      <c r="P34" s="32" t="s">
        <v>40</v>
      </c>
      <c r="Q34" s="32" t="s">
        <v>40</v>
      </c>
      <c r="R34" s="32" t="s">
        <v>40</v>
      </c>
      <c r="S34" s="32" t="s">
        <v>40</v>
      </c>
      <c r="T34" s="36" t="s">
        <v>40</v>
      </c>
      <c r="U34" s="32" t="s">
        <v>40</v>
      </c>
      <c r="V34" s="36" t="s">
        <v>40</v>
      </c>
      <c r="W34" s="3">
        <v>11</v>
      </c>
      <c r="X34" s="1">
        <v>28</v>
      </c>
      <c r="Y34" s="1">
        <f>15+6</f>
        <v>21</v>
      </c>
      <c r="Z34" s="1">
        <f>32+11</f>
        <v>43</v>
      </c>
      <c r="AA34" s="1">
        <v>93</v>
      </c>
      <c r="AB34" s="1">
        <v>116</v>
      </c>
      <c r="AC34" s="1">
        <v>59</v>
      </c>
      <c r="AD34" s="52">
        <v>94</v>
      </c>
    </row>
    <row r="35" spans="1:30" ht="12.75" customHeight="1">
      <c r="A35" s="2" t="s">
        <v>95</v>
      </c>
      <c r="B35" s="26">
        <v>622</v>
      </c>
      <c r="C35" s="27">
        <v>700</v>
      </c>
      <c r="D35" s="1">
        <v>600</v>
      </c>
      <c r="E35" s="1">
        <v>496</v>
      </c>
      <c r="F35" s="1">
        <v>458</v>
      </c>
      <c r="G35" s="1">
        <v>392</v>
      </c>
      <c r="H35" s="1">
        <v>470</v>
      </c>
      <c r="I35" s="1">
        <v>655</v>
      </c>
      <c r="J35" s="1">
        <v>714</v>
      </c>
      <c r="K35" s="1">
        <v>778</v>
      </c>
      <c r="L35" s="2">
        <v>557</v>
      </c>
      <c r="M35" s="2">
        <v>623</v>
      </c>
      <c r="N35" s="2">
        <v>606</v>
      </c>
      <c r="O35" s="1">
        <v>568</v>
      </c>
      <c r="P35" s="1">
        <v>511</v>
      </c>
      <c r="Q35" s="1">
        <v>535</v>
      </c>
      <c r="R35" s="1">
        <v>514</v>
      </c>
      <c r="S35" s="1">
        <v>570</v>
      </c>
      <c r="T35" s="28">
        <f>635+5</f>
        <v>640</v>
      </c>
      <c r="U35" s="1">
        <f>486+4</f>
        <v>490</v>
      </c>
      <c r="V35" s="31">
        <v>371</v>
      </c>
      <c r="W35" s="3">
        <v>606</v>
      </c>
      <c r="X35" s="1">
        <f>346+87</f>
        <v>433</v>
      </c>
      <c r="Y35" s="1">
        <f>359+98</f>
        <v>457</v>
      </c>
      <c r="Z35" s="1">
        <f>519+146</f>
        <v>665</v>
      </c>
      <c r="AA35" s="1">
        <v>869</v>
      </c>
      <c r="AB35" s="1">
        <v>992</v>
      </c>
      <c r="AC35" s="1">
        <v>978</v>
      </c>
      <c r="AD35" s="52">
        <v>1007</v>
      </c>
    </row>
    <row r="36" spans="1:30" ht="12.75" customHeight="1">
      <c r="A36" s="2" t="s">
        <v>96</v>
      </c>
      <c r="B36" s="26">
        <v>266</v>
      </c>
      <c r="C36" s="27">
        <v>323</v>
      </c>
      <c r="D36" s="1">
        <v>330</v>
      </c>
      <c r="E36" s="1">
        <v>273</v>
      </c>
      <c r="F36" s="1">
        <v>267</v>
      </c>
      <c r="G36" s="1">
        <v>158</v>
      </c>
      <c r="H36" s="1">
        <v>224</v>
      </c>
      <c r="I36" s="1">
        <v>259</v>
      </c>
      <c r="J36" s="1">
        <v>249</v>
      </c>
      <c r="K36" s="1">
        <v>248</v>
      </c>
      <c r="L36" s="2">
        <v>274</v>
      </c>
      <c r="M36" s="2">
        <v>283</v>
      </c>
      <c r="N36" s="2">
        <v>298</v>
      </c>
      <c r="O36" s="1">
        <v>245</v>
      </c>
      <c r="P36" s="1">
        <f>199+2</f>
        <v>201</v>
      </c>
      <c r="Q36" s="1">
        <v>259</v>
      </c>
      <c r="R36" s="1">
        <v>263</v>
      </c>
      <c r="S36" s="1">
        <v>346</v>
      </c>
      <c r="T36" s="28">
        <v>349</v>
      </c>
      <c r="U36" s="3">
        <f>428+2</f>
        <v>430</v>
      </c>
      <c r="V36" s="31">
        <f>438+4</f>
        <v>442</v>
      </c>
      <c r="W36" s="3">
        <f>468+2</f>
        <v>470</v>
      </c>
      <c r="X36" s="1">
        <f>231+161</f>
        <v>392</v>
      </c>
      <c r="Y36" s="1">
        <f>246+150</f>
        <v>396</v>
      </c>
      <c r="Z36" s="1">
        <f>378+193</f>
        <v>571</v>
      </c>
      <c r="AA36" s="1">
        <v>699</v>
      </c>
      <c r="AB36" s="1">
        <v>761</v>
      </c>
      <c r="AC36" s="1">
        <v>640</v>
      </c>
      <c r="AD36" s="52">
        <v>763</v>
      </c>
    </row>
    <row r="37" spans="1:30" ht="12.75" customHeight="1">
      <c r="A37" s="2" t="s">
        <v>97</v>
      </c>
      <c r="B37" s="26">
        <v>300</v>
      </c>
      <c r="C37" s="27">
        <v>676</v>
      </c>
      <c r="D37" s="1">
        <v>612</v>
      </c>
      <c r="E37" s="1">
        <v>423</v>
      </c>
      <c r="F37" s="1">
        <v>364</v>
      </c>
      <c r="G37" s="1">
        <v>244</v>
      </c>
      <c r="H37" s="1">
        <v>240</v>
      </c>
      <c r="I37" s="1">
        <v>268</v>
      </c>
      <c r="J37" s="1">
        <v>297</v>
      </c>
      <c r="K37" s="1">
        <v>298</v>
      </c>
      <c r="L37" s="2">
        <v>297</v>
      </c>
      <c r="M37" s="2">
        <v>340</v>
      </c>
      <c r="N37" s="2">
        <v>285</v>
      </c>
      <c r="O37" s="1">
        <f>257+30</f>
        <v>287</v>
      </c>
      <c r="P37" s="1">
        <f>208+11</f>
        <v>219</v>
      </c>
      <c r="Q37" s="1">
        <v>194</v>
      </c>
      <c r="R37" s="1">
        <f>179+34</f>
        <v>213</v>
      </c>
      <c r="S37" s="1">
        <f>199+24</f>
        <v>223</v>
      </c>
      <c r="T37" s="28">
        <v>195</v>
      </c>
      <c r="U37" s="3">
        <f>243+13</f>
        <v>256</v>
      </c>
      <c r="V37" s="31">
        <f>230+38</f>
        <v>268</v>
      </c>
      <c r="W37" s="3">
        <f>235+2+22</f>
        <v>259</v>
      </c>
      <c r="X37" s="1">
        <f>197+23</f>
        <v>220</v>
      </c>
      <c r="Y37" s="1">
        <f>221+38</f>
        <v>259</v>
      </c>
      <c r="Z37" s="1">
        <f>328+29</f>
        <v>357</v>
      </c>
      <c r="AA37" s="1">
        <v>433</v>
      </c>
      <c r="AB37" s="1">
        <v>434</v>
      </c>
      <c r="AC37" s="1">
        <v>368</v>
      </c>
      <c r="AD37" s="52">
        <v>432</v>
      </c>
    </row>
    <row r="38" spans="1:30" ht="12.75" hidden="1" customHeight="1">
      <c r="A38" s="2" t="s">
        <v>104</v>
      </c>
      <c r="B38" s="26">
        <v>3</v>
      </c>
      <c r="C38" s="27"/>
      <c r="D38" s="1"/>
      <c r="E38" s="1"/>
      <c r="F38" s="1"/>
      <c r="G38" s="1"/>
      <c r="H38" s="1"/>
      <c r="I38" s="1"/>
      <c r="J38" s="1"/>
      <c r="K38" s="1"/>
      <c r="O38" s="1"/>
      <c r="P38" s="1"/>
      <c r="Q38" s="1"/>
      <c r="R38" s="1"/>
      <c r="S38" s="1"/>
      <c r="T38" s="28"/>
      <c r="U38" s="3"/>
      <c r="V38" s="31"/>
      <c r="W38" s="3"/>
      <c r="X38" s="51" t="s">
        <v>40</v>
      </c>
      <c r="Y38" s="51" t="s">
        <v>40</v>
      </c>
      <c r="Z38" s="51" t="s">
        <v>40</v>
      </c>
      <c r="AA38" s="51" t="s">
        <v>40</v>
      </c>
      <c r="AB38" s="51" t="s">
        <v>40</v>
      </c>
      <c r="AC38" s="51" t="s">
        <v>40</v>
      </c>
      <c r="AD38" s="54"/>
    </row>
    <row r="39" spans="1:30" ht="12.75" customHeight="1">
      <c r="A39" s="2" t="s">
        <v>41</v>
      </c>
      <c r="B39" s="26">
        <v>316</v>
      </c>
      <c r="C39" s="27">
        <v>308</v>
      </c>
      <c r="D39" s="1">
        <v>310</v>
      </c>
      <c r="E39" s="1">
        <v>272</v>
      </c>
      <c r="F39" s="1">
        <v>284</v>
      </c>
      <c r="G39" s="1">
        <v>178</v>
      </c>
      <c r="H39" s="1">
        <v>159</v>
      </c>
      <c r="I39" s="1">
        <v>323</v>
      </c>
      <c r="J39" s="1">
        <v>305</v>
      </c>
      <c r="K39" s="1">
        <v>290</v>
      </c>
      <c r="L39" s="2">
        <v>319</v>
      </c>
      <c r="M39" s="2">
        <v>336</v>
      </c>
      <c r="N39" s="2">
        <v>314</v>
      </c>
      <c r="O39" s="1">
        <f>257+5</f>
        <v>262</v>
      </c>
      <c r="P39" s="1">
        <v>368</v>
      </c>
      <c r="Q39" s="1">
        <f>296+13</f>
        <v>309</v>
      </c>
      <c r="R39" s="1">
        <v>280</v>
      </c>
      <c r="S39" s="1">
        <f>349+6</f>
        <v>355</v>
      </c>
      <c r="T39" s="28">
        <v>429</v>
      </c>
      <c r="U39" s="3">
        <f>407+13</f>
        <v>420</v>
      </c>
      <c r="V39" s="31">
        <f>498+17</f>
        <v>515</v>
      </c>
      <c r="W39" s="3">
        <f>287+286+12</f>
        <v>585</v>
      </c>
      <c r="X39" s="1">
        <f>275+261+15</f>
        <v>551</v>
      </c>
      <c r="Y39" s="1">
        <f>305+238+6</f>
        <v>549</v>
      </c>
      <c r="Z39" s="1">
        <f>281+304+11</f>
        <v>596</v>
      </c>
      <c r="AA39" s="1">
        <v>626</v>
      </c>
      <c r="AB39" s="1">
        <v>623</v>
      </c>
      <c r="AC39" s="1">
        <v>452</v>
      </c>
      <c r="AD39" s="52">
        <v>842</v>
      </c>
    </row>
    <row r="40" spans="1:30" ht="12.75" customHeight="1">
      <c r="A40" s="2" t="s">
        <v>42</v>
      </c>
      <c r="B40" s="26">
        <v>232</v>
      </c>
      <c r="C40" s="27">
        <v>205</v>
      </c>
      <c r="D40" s="1">
        <v>224</v>
      </c>
      <c r="E40" s="1">
        <v>178</v>
      </c>
      <c r="F40" s="1">
        <v>184</v>
      </c>
      <c r="G40" s="1">
        <v>210</v>
      </c>
      <c r="H40" s="1">
        <v>273</v>
      </c>
      <c r="I40" s="1">
        <v>323</v>
      </c>
      <c r="J40" s="1">
        <v>293</v>
      </c>
      <c r="K40" s="1">
        <v>258</v>
      </c>
      <c r="L40" s="2">
        <v>333</v>
      </c>
      <c r="M40" s="2">
        <v>330</v>
      </c>
      <c r="N40" s="2">
        <v>309</v>
      </c>
      <c r="O40" s="1">
        <f>247+4</f>
        <v>251</v>
      </c>
      <c r="P40" s="1">
        <f>320+20</f>
        <v>340</v>
      </c>
      <c r="Q40" s="1">
        <f>306+14</f>
        <v>320</v>
      </c>
      <c r="R40" s="1">
        <f>269+8</f>
        <v>277</v>
      </c>
      <c r="S40" s="1">
        <v>374</v>
      </c>
      <c r="T40" s="28">
        <f>420+19</f>
        <v>439</v>
      </c>
      <c r="U40" s="3">
        <f>469+9</f>
        <v>478</v>
      </c>
      <c r="V40" s="31">
        <f>522+14</f>
        <v>536</v>
      </c>
      <c r="W40" s="3">
        <f>50+584+19</f>
        <v>653</v>
      </c>
      <c r="X40" s="1">
        <f>41+686+13</f>
        <v>740</v>
      </c>
      <c r="Y40" s="1">
        <f>37+340+10</f>
        <v>387</v>
      </c>
      <c r="Z40" s="1">
        <f>28+520+14</f>
        <v>562</v>
      </c>
      <c r="AA40" s="1">
        <v>682</v>
      </c>
      <c r="AB40" s="1">
        <v>696</v>
      </c>
      <c r="AC40" s="1">
        <v>666</v>
      </c>
      <c r="AD40" s="52">
        <v>893</v>
      </c>
    </row>
    <row r="41" spans="1:30" ht="12.75" customHeight="1">
      <c r="A41" s="2" t="s">
        <v>98</v>
      </c>
      <c r="B41" s="26">
        <v>100</v>
      </c>
      <c r="C41" s="27">
        <v>91</v>
      </c>
      <c r="D41" s="1">
        <v>82</v>
      </c>
      <c r="E41" s="1">
        <v>71</v>
      </c>
      <c r="F41" s="1">
        <v>92</v>
      </c>
      <c r="G41" s="1">
        <v>99</v>
      </c>
      <c r="H41" s="1">
        <v>92</v>
      </c>
      <c r="I41" s="1">
        <v>95</v>
      </c>
      <c r="J41" s="1">
        <v>134</v>
      </c>
      <c r="K41" s="1">
        <v>165</v>
      </c>
      <c r="L41" s="1">
        <v>157</v>
      </c>
      <c r="M41" s="1">
        <v>173</v>
      </c>
      <c r="N41" s="1">
        <v>216</v>
      </c>
      <c r="O41" s="1">
        <f>205+18</f>
        <v>223</v>
      </c>
      <c r="P41" s="1">
        <f>192+28</f>
        <v>220</v>
      </c>
      <c r="Q41" s="1">
        <f>201+17</f>
        <v>218</v>
      </c>
      <c r="R41" s="1">
        <f>204+9</f>
        <v>213</v>
      </c>
      <c r="S41" s="1">
        <v>270</v>
      </c>
      <c r="T41" s="28">
        <f>255+23</f>
        <v>278</v>
      </c>
      <c r="U41" s="1">
        <f>293+13</f>
        <v>306</v>
      </c>
      <c r="V41" s="28">
        <f>331+19</f>
        <v>350</v>
      </c>
      <c r="W41" s="1">
        <f>344+21</f>
        <v>365</v>
      </c>
      <c r="X41" s="1">
        <f>375+17</f>
        <v>392</v>
      </c>
      <c r="Y41" s="1">
        <f>325+17</f>
        <v>342</v>
      </c>
      <c r="Z41" s="1">
        <f>315+27</f>
        <v>342</v>
      </c>
      <c r="AA41" s="1">
        <v>293</v>
      </c>
      <c r="AB41" s="1">
        <v>348</v>
      </c>
      <c r="AC41" s="1">
        <v>442</v>
      </c>
      <c r="AD41" s="52">
        <v>523</v>
      </c>
    </row>
    <row r="42" spans="1:30" ht="12.75" customHeight="1">
      <c r="A42" s="2" t="s">
        <v>43</v>
      </c>
      <c r="B42" s="26">
        <v>123</v>
      </c>
      <c r="C42" s="27">
        <v>95</v>
      </c>
      <c r="D42" s="1">
        <v>128</v>
      </c>
      <c r="E42" s="1">
        <v>131</v>
      </c>
      <c r="F42" s="1">
        <v>200</v>
      </c>
      <c r="G42" s="1">
        <v>102</v>
      </c>
      <c r="H42" s="1">
        <v>131</v>
      </c>
      <c r="I42" s="1">
        <v>107</v>
      </c>
      <c r="J42" s="1">
        <v>87</v>
      </c>
      <c r="K42" s="1">
        <v>138</v>
      </c>
      <c r="L42" s="2">
        <v>111</v>
      </c>
      <c r="M42" s="2">
        <v>146</v>
      </c>
      <c r="N42" s="2">
        <v>173</v>
      </c>
      <c r="O42" s="1">
        <f>157+4</f>
        <v>161</v>
      </c>
      <c r="P42" s="1">
        <v>171</v>
      </c>
      <c r="Q42" s="1">
        <v>195</v>
      </c>
      <c r="R42" s="1">
        <f>254+4</f>
        <v>258</v>
      </c>
      <c r="S42" s="1">
        <f>242+6</f>
        <v>248</v>
      </c>
      <c r="T42" s="28">
        <v>282</v>
      </c>
      <c r="U42" s="3">
        <f>284+6</f>
        <v>290</v>
      </c>
      <c r="V42" s="31">
        <f>268+13</f>
        <v>281</v>
      </c>
      <c r="W42" s="3">
        <f>40+243+3</f>
        <v>286</v>
      </c>
      <c r="X42" s="1">
        <f>29+263+4</f>
        <v>296</v>
      </c>
      <c r="Y42" s="1">
        <f>38+259+2</f>
        <v>299</v>
      </c>
      <c r="Z42" s="1">
        <f>33+185+12</f>
        <v>230</v>
      </c>
      <c r="AA42" s="1">
        <v>263</v>
      </c>
      <c r="AB42" s="1">
        <v>293</v>
      </c>
      <c r="AC42" s="1">
        <v>295</v>
      </c>
      <c r="AD42" s="52">
        <v>332</v>
      </c>
    </row>
    <row r="43" spans="1:30" ht="12.75" customHeight="1">
      <c r="A43" s="2" t="s">
        <v>99</v>
      </c>
      <c r="B43" s="32" t="s">
        <v>40</v>
      </c>
      <c r="C43" s="37" t="s">
        <v>40</v>
      </c>
      <c r="D43" s="33" t="s">
        <v>40</v>
      </c>
      <c r="E43" s="33" t="s">
        <v>40</v>
      </c>
      <c r="F43" s="33" t="s">
        <v>40</v>
      </c>
      <c r="G43" s="33" t="s">
        <v>40</v>
      </c>
      <c r="H43" s="33" t="s">
        <v>40</v>
      </c>
      <c r="I43" s="33" t="s">
        <v>40</v>
      </c>
      <c r="J43" s="33" t="s">
        <v>40</v>
      </c>
      <c r="K43" s="33" t="s">
        <v>40</v>
      </c>
      <c r="L43" s="2">
        <v>186</v>
      </c>
      <c r="M43" s="2">
        <v>192</v>
      </c>
      <c r="N43" s="2">
        <v>270</v>
      </c>
      <c r="O43" s="1">
        <v>256</v>
      </c>
      <c r="P43" s="1">
        <v>334</v>
      </c>
      <c r="Q43" s="1">
        <v>379</v>
      </c>
      <c r="R43" s="1">
        <f>499+9</f>
        <v>508</v>
      </c>
      <c r="S43" s="1">
        <f>533+9</f>
        <v>542</v>
      </c>
      <c r="T43" s="28">
        <v>711</v>
      </c>
      <c r="U43" s="3">
        <v>843</v>
      </c>
      <c r="V43" s="28">
        <f>1341+17</f>
        <v>1358</v>
      </c>
      <c r="W43" s="1">
        <f>1383+23</f>
        <v>1406</v>
      </c>
      <c r="X43" s="1">
        <f>862+668</f>
        <v>1530</v>
      </c>
      <c r="Y43" s="1">
        <f>864+567</f>
        <v>1431</v>
      </c>
      <c r="Z43" s="1">
        <f>916+740</f>
        <v>1656</v>
      </c>
      <c r="AA43" s="1">
        <v>1665</v>
      </c>
      <c r="AB43" s="1">
        <v>1790</v>
      </c>
      <c r="AC43" s="1">
        <v>1659</v>
      </c>
      <c r="AD43" s="52">
        <v>2391</v>
      </c>
    </row>
    <row r="44" spans="1:30" ht="12.75" customHeight="1">
      <c r="A44" s="2" t="s">
        <v>45</v>
      </c>
      <c r="B44" s="32" t="s">
        <v>40</v>
      </c>
      <c r="C44" s="37" t="s">
        <v>40</v>
      </c>
      <c r="D44" s="33" t="s">
        <v>40</v>
      </c>
      <c r="E44" s="33" t="s">
        <v>40</v>
      </c>
      <c r="F44" s="33" t="s">
        <v>40</v>
      </c>
      <c r="G44" s="33" t="s">
        <v>40</v>
      </c>
      <c r="H44" s="1">
        <v>106</v>
      </c>
      <c r="I44" s="1">
        <v>50</v>
      </c>
      <c r="J44" s="1">
        <v>220</v>
      </c>
      <c r="K44" s="1">
        <v>292</v>
      </c>
      <c r="L44" s="2">
        <v>373</v>
      </c>
      <c r="M44" s="2">
        <v>465</v>
      </c>
      <c r="N44" s="2">
        <v>481</v>
      </c>
      <c r="O44" s="1">
        <v>469</v>
      </c>
      <c r="P44" s="1">
        <v>478</v>
      </c>
      <c r="Q44" s="1">
        <v>412</v>
      </c>
      <c r="R44" s="1">
        <v>614</v>
      </c>
      <c r="S44" s="1">
        <v>705</v>
      </c>
      <c r="T44" s="28">
        <v>748</v>
      </c>
      <c r="U44" s="3">
        <v>381</v>
      </c>
      <c r="V44" s="31">
        <v>548</v>
      </c>
      <c r="W44" s="3">
        <f>697+154+0</f>
        <v>851</v>
      </c>
      <c r="X44" s="1">
        <f>915+214</f>
        <v>1129</v>
      </c>
      <c r="Y44" s="1">
        <f>937+196</f>
        <v>1133</v>
      </c>
      <c r="Z44" s="1">
        <f>885+192+3</f>
        <v>1080</v>
      </c>
      <c r="AA44" s="1">
        <v>1210</v>
      </c>
      <c r="AB44" s="1">
        <v>1223</v>
      </c>
      <c r="AC44" s="1">
        <v>1322</v>
      </c>
      <c r="AD44" s="52">
        <v>1467</v>
      </c>
    </row>
    <row r="45" spans="1:30" ht="12.75" customHeight="1">
      <c r="A45" s="2" t="s">
        <v>100</v>
      </c>
      <c r="B45" s="26">
        <v>1039</v>
      </c>
      <c r="C45" s="27">
        <v>921</v>
      </c>
      <c r="D45" s="1">
        <v>898</v>
      </c>
      <c r="E45" s="1">
        <v>773</v>
      </c>
      <c r="F45" s="1">
        <v>747</v>
      </c>
      <c r="G45" s="1">
        <v>465</v>
      </c>
      <c r="H45" s="1">
        <v>528</v>
      </c>
      <c r="I45" s="1">
        <v>509</v>
      </c>
      <c r="J45" s="1">
        <v>581</v>
      </c>
      <c r="K45" s="1">
        <v>526</v>
      </c>
      <c r="L45" s="2">
        <v>580</v>
      </c>
      <c r="M45" s="2">
        <v>535</v>
      </c>
      <c r="N45" s="2">
        <v>445</v>
      </c>
      <c r="O45" s="1">
        <f>425+18</f>
        <v>443</v>
      </c>
      <c r="P45" s="1">
        <f>425+18</f>
        <v>443</v>
      </c>
      <c r="Q45" s="1">
        <f>490+29</f>
        <v>519</v>
      </c>
      <c r="R45" s="1">
        <f>522+16</f>
        <v>538</v>
      </c>
      <c r="S45" s="1">
        <f>516+8</f>
        <v>524</v>
      </c>
      <c r="T45" s="28">
        <f>518+13</f>
        <v>531</v>
      </c>
      <c r="U45" s="3">
        <f>473+16</f>
        <v>489</v>
      </c>
      <c r="V45" s="31">
        <f>624+29</f>
        <v>653</v>
      </c>
      <c r="W45" s="3">
        <f>707+38+16</f>
        <v>761</v>
      </c>
      <c r="X45" s="1">
        <f>711+33+33</f>
        <v>777</v>
      </c>
      <c r="Y45" s="1">
        <f>662+44+21</f>
        <v>727</v>
      </c>
      <c r="Z45" s="1">
        <f>674+34+31</f>
        <v>739</v>
      </c>
      <c r="AA45" s="1">
        <v>746</v>
      </c>
      <c r="AB45" s="1">
        <v>683</v>
      </c>
      <c r="AC45" s="1">
        <v>740</v>
      </c>
      <c r="AD45" s="52">
        <v>865</v>
      </c>
    </row>
    <row r="46" spans="1:30" ht="12.75" customHeight="1">
      <c r="A46" s="2" t="s">
        <v>46</v>
      </c>
      <c r="B46" s="26">
        <v>541</v>
      </c>
      <c r="C46" s="27">
        <v>334</v>
      </c>
      <c r="D46" s="1">
        <v>445</v>
      </c>
      <c r="E46" s="1">
        <v>342</v>
      </c>
      <c r="F46" s="1">
        <v>307</v>
      </c>
      <c r="G46" s="1">
        <v>265</v>
      </c>
      <c r="H46" s="1">
        <v>215</v>
      </c>
      <c r="I46" s="1">
        <v>263</v>
      </c>
      <c r="J46" s="1">
        <v>223</v>
      </c>
      <c r="K46" s="1">
        <v>228</v>
      </c>
      <c r="L46" s="2">
        <v>262</v>
      </c>
      <c r="M46" s="2">
        <v>248</v>
      </c>
      <c r="N46" s="2">
        <v>262</v>
      </c>
      <c r="O46" s="1">
        <f>247+29</f>
        <v>276</v>
      </c>
      <c r="P46" s="1">
        <f>214+34</f>
        <v>248</v>
      </c>
      <c r="Q46" s="1">
        <f>252+33</f>
        <v>285</v>
      </c>
      <c r="R46" s="1">
        <f>222+32</f>
        <v>254</v>
      </c>
      <c r="S46" s="1">
        <f>215+33</f>
        <v>248</v>
      </c>
      <c r="T46" s="28">
        <f>259+40</f>
        <v>299</v>
      </c>
      <c r="U46" s="3">
        <f>335+44</f>
        <v>379</v>
      </c>
      <c r="V46" s="31">
        <f>384+42</f>
        <v>426</v>
      </c>
      <c r="W46" s="3">
        <f>463+60+57</f>
        <v>580</v>
      </c>
      <c r="X46" s="1">
        <f>463+36+18</f>
        <v>517</v>
      </c>
      <c r="Y46" s="1">
        <f>463+30+24</f>
        <v>517</v>
      </c>
      <c r="Z46" s="1">
        <f>422+30+26</f>
        <v>478</v>
      </c>
      <c r="AA46" s="1">
        <v>574</v>
      </c>
      <c r="AB46" s="1">
        <v>512</v>
      </c>
      <c r="AC46" s="1">
        <v>526</v>
      </c>
      <c r="AD46" s="52">
        <v>650</v>
      </c>
    </row>
    <row r="47" spans="1:30" ht="12.75" customHeight="1">
      <c r="A47" s="2" t="s">
        <v>47</v>
      </c>
      <c r="B47" s="26">
        <v>1263</v>
      </c>
      <c r="C47" s="27">
        <v>1324</v>
      </c>
      <c r="D47" s="1">
        <v>1311</v>
      </c>
      <c r="E47" s="1">
        <v>1087</v>
      </c>
      <c r="F47" s="1">
        <v>1174</v>
      </c>
      <c r="G47" s="1">
        <v>541</v>
      </c>
      <c r="H47" s="1">
        <v>551</v>
      </c>
      <c r="I47" s="1">
        <v>662</v>
      </c>
      <c r="J47" s="1">
        <v>649</v>
      </c>
      <c r="K47" s="1">
        <v>608</v>
      </c>
      <c r="L47" s="2">
        <v>625</v>
      </c>
      <c r="M47" s="2">
        <v>621</v>
      </c>
      <c r="N47" s="2">
        <v>508</v>
      </c>
      <c r="O47" s="1">
        <f>463+12</f>
        <v>475</v>
      </c>
      <c r="P47" s="1">
        <f>495+13</f>
        <v>508</v>
      </c>
      <c r="Q47" s="1">
        <f>493+19</f>
        <v>512</v>
      </c>
      <c r="R47" s="1">
        <f>569+14</f>
        <v>583</v>
      </c>
      <c r="S47" s="1">
        <f>632+20</f>
        <v>652</v>
      </c>
      <c r="T47" s="28">
        <f>702+24</f>
        <v>726</v>
      </c>
      <c r="U47" s="3">
        <f>647+28</f>
        <v>675</v>
      </c>
      <c r="V47" s="31">
        <f>820+22</f>
        <v>842</v>
      </c>
      <c r="W47" s="3">
        <f>668+208+22</f>
        <v>898</v>
      </c>
      <c r="X47" s="1">
        <f>860+266+25</f>
        <v>1151</v>
      </c>
      <c r="Y47" s="1">
        <f>988+281+18</f>
        <v>1287</v>
      </c>
      <c r="Z47" s="1">
        <f>833+270+18</f>
        <v>1121</v>
      </c>
      <c r="AA47" s="1">
        <v>1607</v>
      </c>
      <c r="AB47" s="1">
        <v>1361</v>
      </c>
      <c r="AC47" s="1">
        <v>1256</v>
      </c>
      <c r="AD47" s="52">
        <v>1417</v>
      </c>
    </row>
    <row r="48" spans="1:30" ht="12.75" customHeight="1">
      <c r="A48" s="2" t="s">
        <v>103</v>
      </c>
      <c r="B48" s="32" t="s">
        <v>40</v>
      </c>
      <c r="C48" s="32" t="s">
        <v>40</v>
      </c>
      <c r="D48" s="32" t="s">
        <v>40</v>
      </c>
      <c r="E48" s="32" t="s">
        <v>40</v>
      </c>
      <c r="F48" s="32" t="s">
        <v>40</v>
      </c>
      <c r="G48" s="32" t="s">
        <v>40</v>
      </c>
      <c r="H48" s="32" t="s">
        <v>40</v>
      </c>
      <c r="I48" s="32" t="s">
        <v>40</v>
      </c>
      <c r="J48" s="32" t="s">
        <v>40</v>
      </c>
      <c r="K48" s="32" t="s">
        <v>40</v>
      </c>
      <c r="L48" s="32" t="s">
        <v>40</v>
      </c>
      <c r="M48" s="32" t="s">
        <v>40</v>
      </c>
      <c r="N48" s="32" t="s">
        <v>40</v>
      </c>
      <c r="O48" s="32" t="s">
        <v>40</v>
      </c>
      <c r="P48" s="32" t="s">
        <v>40</v>
      </c>
      <c r="Q48" s="32" t="s">
        <v>40</v>
      </c>
      <c r="R48" s="32" t="s">
        <v>40</v>
      </c>
      <c r="S48" s="32" t="s">
        <v>40</v>
      </c>
      <c r="T48" s="32" t="s">
        <v>40</v>
      </c>
      <c r="U48" s="32" t="s">
        <v>40</v>
      </c>
      <c r="V48" s="32" t="s">
        <v>40</v>
      </c>
      <c r="W48" s="32" t="s">
        <v>40</v>
      </c>
      <c r="X48" s="32" t="s">
        <v>40</v>
      </c>
      <c r="Y48" s="32" t="s">
        <v>40</v>
      </c>
      <c r="Z48" s="32" t="s">
        <v>40</v>
      </c>
      <c r="AA48" s="32" t="s">
        <v>40</v>
      </c>
      <c r="AB48" s="1">
        <v>201</v>
      </c>
      <c r="AC48" s="1">
        <v>147</v>
      </c>
      <c r="AD48" s="52">
        <v>160</v>
      </c>
    </row>
    <row r="49" spans="1:30" ht="12.75" customHeight="1">
      <c r="A49" s="2" t="s">
        <v>44</v>
      </c>
      <c r="B49" s="26">
        <v>268</v>
      </c>
      <c r="C49" s="27">
        <v>266</v>
      </c>
      <c r="D49" s="1">
        <v>239</v>
      </c>
      <c r="E49" s="1">
        <v>230</v>
      </c>
      <c r="F49" s="1">
        <v>242</v>
      </c>
      <c r="G49" s="1">
        <v>279</v>
      </c>
      <c r="H49" s="1">
        <v>259</v>
      </c>
      <c r="I49" s="1">
        <v>283</v>
      </c>
      <c r="J49" s="1">
        <v>339</v>
      </c>
      <c r="K49" s="1">
        <v>377</v>
      </c>
      <c r="L49" s="2">
        <v>322</v>
      </c>
      <c r="M49" s="2">
        <v>316</v>
      </c>
      <c r="N49" s="2">
        <v>330</v>
      </c>
      <c r="O49" s="1">
        <f>317+6</f>
        <v>323</v>
      </c>
      <c r="P49" s="1">
        <f>298+6</f>
        <v>304</v>
      </c>
      <c r="Q49" s="1">
        <v>277</v>
      </c>
      <c r="R49" s="1">
        <f>344+11</f>
        <v>355</v>
      </c>
      <c r="S49" s="1">
        <f>357+10</f>
        <v>367</v>
      </c>
      <c r="T49" s="28">
        <f>397+24</f>
        <v>421</v>
      </c>
      <c r="U49" s="3">
        <f>585+19</f>
        <v>604</v>
      </c>
      <c r="V49" s="28">
        <f>609+20</f>
        <v>629</v>
      </c>
      <c r="W49" s="1">
        <f>207+384+12</f>
        <v>603</v>
      </c>
      <c r="X49" s="1">
        <f>213+439+10</f>
        <v>662</v>
      </c>
      <c r="Y49" s="1">
        <f>218+302+10</f>
        <v>530</v>
      </c>
      <c r="Z49" s="1">
        <f>246+323+5</f>
        <v>574</v>
      </c>
      <c r="AA49" s="1">
        <v>624</v>
      </c>
      <c r="AB49" s="1">
        <v>677</v>
      </c>
      <c r="AC49" s="1">
        <v>618</v>
      </c>
      <c r="AD49" s="52">
        <v>902</v>
      </c>
    </row>
    <row r="50" spans="1:30" ht="12.75" customHeight="1">
      <c r="A50" s="2" t="s">
        <v>48</v>
      </c>
      <c r="B50" s="26">
        <v>264</v>
      </c>
      <c r="C50" s="27">
        <v>306</v>
      </c>
      <c r="D50" s="1">
        <v>294</v>
      </c>
      <c r="E50" s="1">
        <v>279</v>
      </c>
      <c r="F50" s="1">
        <v>325</v>
      </c>
      <c r="G50" s="1">
        <v>380</v>
      </c>
      <c r="H50" s="1">
        <v>331</v>
      </c>
      <c r="I50" s="1">
        <v>327</v>
      </c>
      <c r="J50" s="1">
        <v>410</v>
      </c>
      <c r="K50" s="1">
        <v>368</v>
      </c>
      <c r="L50" s="2">
        <v>400</v>
      </c>
      <c r="M50" s="2">
        <v>433</v>
      </c>
      <c r="N50" s="2">
        <v>415</v>
      </c>
      <c r="O50" s="1">
        <f>380+16</f>
        <v>396</v>
      </c>
      <c r="P50" s="1">
        <v>303</v>
      </c>
      <c r="Q50" s="1">
        <v>278</v>
      </c>
      <c r="R50" s="1">
        <f>284+10</f>
        <v>294</v>
      </c>
      <c r="S50" s="1">
        <v>391</v>
      </c>
      <c r="T50" s="28">
        <v>340</v>
      </c>
      <c r="U50" s="3">
        <f>334+13</f>
        <v>347</v>
      </c>
      <c r="V50" s="31">
        <f>413+17</f>
        <v>430</v>
      </c>
      <c r="W50" s="3">
        <f>174+150+23</f>
        <v>347</v>
      </c>
      <c r="X50" s="1">
        <f>245+278+16</f>
        <v>539</v>
      </c>
      <c r="Y50" s="1">
        <f>249+193+21</f>
        <v>463</v>
      </c>
      <c r="Z50" s="1">
        <f>230+272+13</f>
        <v>515</v>
      </c>
      <c r="AA50" s="1">
        <v>545</v>
      </c>
      <c r="AB50" s="1">
        <v>624</v>
      </c>
      <c r="AC50" s="1">
        <v>232</v>
      </c>
      <c r="AD50" s="52">
        <v>739</v>
      </c>
    </row>
    <row r="51" spans="1:30" ht="12.75" customHeight="1">
      <c r="A51" s="3" t="s">
        <v>33</v>
      </c>
      <c r="B51" s="26">
        <f t="shared" ref="B51:Z51" si="1">SUM(B29:B50)</f>
        <v>6471</v>
      </c>
      <c r="C51" s="29">
        <f t="shared" si="1"/>
        <v>6763</v>
      </c>
      <c r="D51" s="26">
        <f t="shared" si="1"/>
        <v>6782</v>
      </c>
      <c r="E51" s="26">
        <f t="shared" si="1"/>
        <v>5779</v>
      </c>
      <c r="F51" s="26">
        <f t="shared" si="1"/>
        <v>6010</v>
      </c>
      <c r="G51" s="26">
        <f t="shared" si="1"/>
        <v>4358</v>
      </c>
      <c r="H51" s="26">
        <f t="shared" si="1"/>
        <v>4635</v>
      </c>
      <c r="I51" s="26">
        <f t="shared" si="1"/>
        <v>5178</v>
      </c>
      <c r="J51" s="26">
        <f t="shared" si="1"/>
        <v>5603</v>
      </c>
      <c r="K51" s="26">
        <f t="shared" si="1"/>
        <v>5669</v>
      </c>
      <c r="L51" s="26">
        <f t="shared" si="1"/>
        <v>5937</v>
      </c>
      <c r="M51" s="26">
        <f t="shared" si="1"/>
        <v>6384</v>
      </c>
      <c r="N51" s="26">
        <f t="shared" si="1"/>
        <v>6140</v>
      </c>
      <c r="O51" s="26">
        <f t="shared" si="1"/>
        <v>5744</v>
      </c>
      <c r="P51" s="26">
        <f t="shared" si="1"/>
        <v>5789</v>
      </c>
      <c r="Q51" s="26">
        <f t="shared" si="1"/>
        <v>6320</v>
      </c>
      <c r="R51" s="26">
        <f t="shared" si="1"/>
        <v>6661</v>
      </c>
      <c r="S51" s="26">
        <f t="shared" si="1"/>
        <v>7530</v>
      </c>
      <c r="T51" s="30">
        <f t="shared" si="1"/>
        <v>8068</v>
      </c>
      <c r="U51" s="26">
        <f t="shared" si="1"/>
        <v>8292</v>
      </c>
      <c r="V51" s="30">
        <f t="shared" si="1"/>
        <v>9747</v>
      </c>
      <c r="W51" s="26">
        <f t="shared" si="1"/>
        <v>11056</v>
      </c>
      <c r="X51" s="26">
        <f t="shared" si="1"/>
        <v>11958</v>
      </c>
      <c r="Y51" s="26">
        <f t="shared" si="1"/>
        <v>11299</v>
      </c>
      <c r="Z51" s="26">
        <f t="shared" si="1"/>
        <v>12152</v>
      </c>
      <c r="AA51" s="26">
        <f>SUM(AA29:AA50)</f>
        <v>13903</v>
      </c>
      <c r="AB51" s="26">
        <f>SUM(AB29:AB50)</f>
        <v>14452</v>
      </c>
      <c r="AC51" s="26">
        <f>SUM(AC29:AC50)</f>
        <v>13590</v>
      </c>
      <c r="AD51" s="53">
        <f>SUM(AD29:AD50)</f>
        <v>16432</v>
      </c>
    </row>
    <row r="52" spans="1:30" ht="12.75" customHeight="1">
      <c r="A52" s="3"/>
      <c r="B52" s="26"/>
      <c r="C52" s="27"/>
      <c r="D52" s="1"/>
      <c r="E52" s="1"/>
      <c r="F52" s="1"/>
      <c r="G52" s="1"/>
      <c r="H52" s="1"/>
      <c r="I52" s="1"/>
      <c r="J52" s="1"/>
      <c r="K52" s="1"/>
      <c r="O52" s="1"/>
      <c r="P52" s="1"/>
      <c r="Q52" s="1"/>
      <c r="R52" s="1"/>
      <c r="S52" s="1"/>
      <c r="T52" s="28"/>
      <c r="V52" s="25"/>
      <c r="Y52" s="1"/>
      <c r="Z52" s="1"/>
      <c r="AA52" s="1"/>
      <c r="AB52" s="1"/>
      <c r="AC52" s="1"/>
      <c r="AD52" s="1"/>
    </row>
    <row r="53" spans="1:30" ht="12.75" customHeight="1" thickBot="1">
      <c r="A53" s="5" t="s">
        <v>49</v>
      </c>
      <c r="B53" s="38">
        <f t="shared" ref="B53:AC53" si="2">SUM(B25+B51)</f>
        <v>25558</v>
      </c>
      <c r="C53" s="39">
        <f t="shared" si="2"/>
        <v>25021</v>
      </c>
      <c r="D53" s="38">
        <f t="shared" si="2"/>
        <v>24190</v>
      </c>
      <c r="E53" s="38">
        <f t="shared" si="2"/>
        <v>22140</v>
      </c>
      <c r="F53" s="38">
        <f t="shared" si="2"/>
        <v>22330</v>
      </c>
      <c r="G53" s="38">
        <f t="shared" si="2"/>
        <v>20244</v>
      </c>
      <c r="H53" s="38">
        <f t="shared" si="2"/>
        <v>21828</v>
      </c>
      <c r="I53" s="38">
        <f t="shared" si="2"/>
        <v>23738</v>
      </c>
      <c r="J53" s="38">
        <f t="shared" si="2"/>
        <v>24555</v>
      </c>
      <c r="K53" s="38">
        <f t="shared" si="2"/>
        <v>23161</v>
      </c>
      <c r="L53" s="38">
        <f t="shared" si="2"/>
        <v>22525</v>
      </c>
      <c r="M53" s="38">
        <f t="shared" si="2"/>
        <v>21952</v>
      </c>
      <c r="N53" s="38">
        <f t="shared" si="2"/>
        <v>21374</v>
      </c>
      <c r="O53" s="38">
        <f t="shared" si="2"/>
        <v>21264</v>
      </c>
      <c r="P53" s="38">
        <f t="shared" si="2"/>
        <v>21732</v>
      </c>
      <c r="Q53" s="38">
        <f t="shared" si="2"/>
        <v>21796</v>
      </c>
      <c r="R53" s="38">
        <f t="shared" si="2"/>
        <v>22027</v>
      </c>
      <c r="S53" s="38">
        <f t="shared" si="2"/>
        <v>23574</v>
      </c>
      <c r="T53" s="40">
        <f t="shared" si="2"/>
        <v>24235</v>
      </c>
      <c r="U53" s="38">
        <f t="shared" si="2"/>
        <v>24676</v>
      </c>
      <c r="V53" s="40">
        <f t="shared" si="2"/>
        <v>26394</v>
      </c>
      <c r="W53" s="38">
        <f t="shared" si="2"/>
        <v>27657</v>
      </c>
      <c r="X53" s="38">
        <f t="shared" si="2"/>
        <v>28723</v>
      </c>
      <c r="Y53" s="38">
        <f t="shared" si="2"/>
        <v>28794</v>
      </c>
      <c r="Z53" s="38">
        <f t="shared" si="2"/>
        <v>30275</v>
      </c>
      <c r="AA53" s="38">
        <f t="shared" si="2"/>
        <v>31677</v>
      </c>
      <c r="AB53" s="38">
        <f t="shared" si="2"/>
        <v>32788</v>
      </c>
      <c r="AC53" s="38">
        <f t="shared" si="2"/>
        <v>33092</v>
      </c>
      <c r="AD53" s="38">
        <f t="shared" ref="AD53" si="3">SUM(AD25+AD51)</f>
        <v>35996</v>
      </c>
    </row>
    <row r="54" spans="1:30" ht="12.75" customHeight="1" thickTop="1">
      <c r="A54" s="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Y54" s="1"/>
      <c r="Z54" s="1"/>
      <c r="AA54" s="1"/>
      <c r="AB54" s="1"/>
      <c r="AC54" s="1"/>
      <c r="AD54" s="1"/>
    </row>
    <row r="55" spans="1:30" ht="12.75" customHeight="1">
      <c r="A55" s="3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30" ht="12.75" customHeight="1">
      <c r="A56" s="3" t="s">
        <v>90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30" ht="12.75" customHeight="1">
      <c r="O57" s="1"/>
      <c r="P57" s="1"/>
      <c r="Q57" s="1"/>
      <c r="R57" s="1"/>
      <c r="S57" s="1"/>
      <c r="T57" s="1"/>
    </row>
    <row r="58" spans="1:30" ht="12.75" customHeight="1">
      <c r="A58" s="3" t="s">
        <v>88</v>
      </c>
      <c r="O58" s="1"/>
      <c r="P58" s="1"/>
      <c r="Q58" s="1"/>
      <c r="R58" s="1"/>
      <c r="S58" s="1"/>
      <c r="T58" s="1"/>
    </row>
    <row r="59" spans="1:30" ht="12.75" customHeight="1">
      <c r="A59" s="3" t="s">
        <v>105</v>
      </c>
      <c r="O59" s="1"/>
      <c r="P59" s="1"/>
      <c r="Q59" s="1"/>
      <c r="R59" s="1"/>
      <c r="S59" s="1"/>
      <c r="T59" s="1"/>
    </row>
    <row r="60" spans="1:30" ht="12.75" customHeight="1">
      <c r="A60" s="3" t="s">
        <v>106</v>
      </c>
      <c r="O60" s="1"/>
      <c r="P60" s="1"/>
      <c r="Q60" s="1"/>
      <c r="R60" s="1"/>
      <c r="S60" s="1"/>
      <c r="T60" s="1"/>
    </row>
    <row r="61" spans="1:30" ht="12.75" customHeight="1">
      <c r="A61" s="3" t="s">
        <v>108</v>
      </c>
      <c r="O61" s="1"/>
      <c r="P61" s="1"/>
      <c r="Q61" s="1"/>
      <c r="R61" s="1"/>
      <c r="S61" s="1"/>
      <c r="T61" s="1"/>
    </row>
    <row r="62" spans="1:30" ht="12.75" customHeight="1" thickBo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26"/>
      <c r="P62" s="26"/>
      <c r="Q62" s="26"/>
      <c r="R62" s="26"/>
      <c r="S62" s="26"/>
      <c r="T62" s="26"/>
      <c r="U62" s="4"/>
      <c r="V62" s="4"/>
      <c r="W62" s="4"/>
      <c r="X62" s="5"/>
      <c r="Y62" s="5"/>
      <c r="Z62" s="5"/>
      <c r="AA62" s="5"/>
      <c r="AB62" s="5"/>
      <c r="AC62" s="5"/>
      <c r="AD62" s="5"/>
    </row>
    <row r="63" spans="1:30" ht="12.75" customHeight="1" thickTop="1">
      <c r="A63" s="6"/>
      <c r="B63" s="7"/>
      <c r="C63" s="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0"/>
      <c r="P63" s="10"/>
      <c r="Q63" s="10"/>
      <c r="R63" s="10"/>
      <c r="S63" s="10"/>
      <c r="T63" s="9"/>
      <c r="U63" s="10"/>
      <c r="V63" s="9"/>
      <c r="W63" s="10"/>
    </row>
    <row r="64" spans="1:30" ht="12.75" customHeight="1">
      <c r="B64" s="11" t="s">
        <v>0</v>
      </c>
      <c r="C64" s="12" t="s">
        <v>0</v>
      </c>
      <c r="D64" s="13" t="s">
        <v>0</v>
      </c>
      <c r="E64" s="13" t="s">
        <v>0</v>
      </c>
      <c r="F64" s="13" t="s">
        <v>0</v>
      </c>
      <c r="G64" s="13" t="s">
        <v>0</v>
      </c>
      <c r="H64" s="13" t="s">
        <v>0</v>
      </c>
      <c r="I64" s="13" t="s">
        <v>0</v>
      </c>
      <c r="J64" s="13" t="s">
        <v>0</v>
      </c>
      <c r="K64" s="13" t="s">
        <v>0</v>
      </c>
      <c r="L64" s="13" t="s">
        <v>0</v>
      </c>
      <c r="M64" s="13" t="s">
        <v>0</v>
      </c>
      <c r="N64" s="13" t="s">
        <v>0</v>
      </c>
      <c r="O64" s="41" t="s">
        <v>0</v>
      </c>
      <c r="P64" s="41" t="s">
        <v>0</v>
      </c>
      <c r="Q64" s="41" t="s">
        <v>0</v>
      </c>
      <c r="R64" s="41" t="s">
        <v>0</v>
      </c>
      <c r="S64" s="13" t="s">
        <v>0</v>
      </c>
      <c r="T64" s="14" t="s">
        <v>0</v>
      </c>
      <c r="U64" s="13" t="s">
        <v>0</v>
      </c>
      <c r="V64" s="14" t="s">
        <v>0</v>
      </c>
      <c r="W64" s="13" t="s">
        <v>0</v>
      </c>
      <c r="X64" s="13" t="s">
        <v>0</v>
      </c>
      <c r="Y64" s="13" t="s">
        <v>0</v>
      </c>
      <c r="Z64" s="13" t="s">
        <v>0</v>
      </c>
      <c r="AA64" s="13" t="s">
        <v>0</v>
      </c>
      <c r="AB64" s="13" t="s">
        <v>0</v>
      </c>
      <c r="AC64" s="13" t="s">
        <v>0</v>
      </c>
      <c r="AD64" s="13" t="s">
        <v>0</v>
      </c>
    </row>
    <row r="65" spans="1:30" ht="12.75" customHeight="1">
      <c r="A65" s="4"/>
      <c r="B65" s="11" t="s">
        <v>1</v>
      </c>
      <c r="C65" s="15" t="s">
        <v>2</v>
      </c>
      <c r="D65" s="11" t="s">
        <v>3</v>
      </c>
      <c r="E65" s="11" t="s">
        <v>4</v>
      </c>
      <c r="F65" s="11" t="s">
        <v>5</v>
      </c>
      <c r="G65" s="11" t="s">
        <v>6</v>
      </c>
      <c r="H65" s="11" t="s">
        <v>7</v>
      </c>
      <c r="I65" s="11" t="s">
        <v>8</v>
      </c>
      <c r="J65" s="11" t="s">
        <v>9</v>
      </c>
      <c r="K65" s="11" t="s">
        <v>10</v>
      </c>
      <c r="L65" s="11" t="s">
        <v>11</v>
      </c>
      <c r="M65" s="11" t="s">
        <v>12</v>
      </c>
      <c r="N65" s="11" t="s">
        <v>13</v>
      </c>
      <c r="O65" s="42" t="s">
        <v>14</v>
      </c>
      <c r="P65" s="42" t="s">
        <v>15</v>
      </c>
      <c r="Q65" s="42" t="s">
        <v>16</v>
      </c>
      <c r="R65" s="42" t="s">
        <v>17</v>
      </c>
      <c r="S65" s="16" t="s">
        <v>18</v>
      </c>
      <c r="T65" s="17" t="s">
        <v>19</v>
      </c>
      <c r="U65" s="16" t="s">
        <v>20</v>
      </c>
      <c r="V65" s="17" t="s">
        <v>21</v>
      </c>
      <c r="W65" s="16">
        <v>2002</v>
      </c>
      <c r="X65" s="18">
        <v>2003</v>
      </c>
      <c r="Y65" s="18">
        <v>2004</v>
      </c>
      <c r="Z65" s="18">
        <v>2005</v>
      </c>
      <c r="AA65" s="18">
        <v>2006</v>
      </c>
      <c r="AB65" s="18">
        <v>2007</v>
      </c>
      <c r="AC65" s="18">
        <v>2008</v>
      </c>
      <c r="AD65" s="18">
        <v>2009</v>
      </c>
    </row>
    <row r="66" spans="1:30" ht="12.75" customHeight="1">
      <c r="A66" s="19"/>
      <c r="B66" s="20"/>
      <c r="C66" s="21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43"/>
      <c r="P66" s="43"/>
      <c r="Q66" s="43"/>
      <c r="R66" s="43"/>
      <c r="S66" s="44"/>
      <c r="T66" s="45"/>
      <c r="U66" s="19"/>
      <c r="V66" s="22"/>
      <c r="W66" s="19"/>
    </row>
    <row r="67" spans="1:30" ht="56.25" customHeight="1">
      <c r="A67" s="23" t="s">
        <v>53</v>
      </c>
      <c r="B67" s="4" t="s">
        <v>54</v>
      </c>
      <c r="C67" s="24"/>
      <c r="O67" s="1"/>
      <c r="P67" s="1"/>
      <c r="Q67" s="1"/>
      <c r="R67" s="1"/>
      <c r="S67" s="1"/>
      <c r="T67" s="28"/>
      <c r="V67" s="25"/>
    </row>
    <row r="68" spans="1:30" ht="12.75" customHeight="1">
      <c r="A68" s="23"/>
      <c r="B68" s="4"/>
      <c r="C68" s="24"/>
      <c r="O68" s="1"/>
      <c r="P68" s="1"/>
      <c r="Q68" s="1"/>
      <c r="R68" s="1"/>
      <c r="S68" s="1"/>
      <c r="T68" s="28"/>
      <c r="V68" s="25"/>
    </row>
    <row r="69" spans="1:30" ht="12.75" customHeight="1">
      <c r="A69" s="2" t="s">
        <v>55</v>
      </c>
      <c r="B69" s="26">
        <v>141</v>
      </c>
      <c r="C69" s="27">
        <v>136</v>
      </c>
      <c r="D69" s="1">
        <v>106</v>
      </c>
      <c r="E69" s="1">
        <v>81</v>
      </c>
      <c r="F69" s="1">
        <v>122</v>
      </c>
      <c r="G69" s="1">
        <v>75</v>
      </c>
      <c r="H69" s="1">
        <v>60</v>
      </c>
      <c r="I69" s="1">
        <v>64</v>
      </c>
      <c r="J69" s="1">
        <v>44</v>
      </c>
      <c r="K69" s="1">
        <v>101</v>
      </c>
      <c r="L69" s="1">
        <v>88</v>
      </c>
      <c r="M69" s="1">
        <v>91</v>
      </c>
      <c r="N69" s="1">
        <v>84</v>
      </c>
      <c r="O69" s="1">
        <v>111</v>
      </c>
      <c r="P69" s="1">
        <v>102</v>
      </c>
      <c r="Q69" s="1">
        <v>91</v>
      </c>
      <c r="R69" s="1">
        <v>96</v>
      </c>
      <c r="S69" s="1">
        <v>113</v>
      </c>
      <c r="T69" s="28">
        <v>113</v>
      </c>
      <c r="U69" s="3">
        <v>166</v>
      </c>
      <c r="V69" s="31">
        <v>156</v>
      </c>
      <c r="W69" s="3">
        <v>129</v>
      </c>
      <c r="X69" s="2">
        <v>152</v>
      </c>
      <c r="Y69" s="1">
        <v>132</v>
      </c>
      <c r="Z69" s="2">
        <v>154</v>
      </c>
      <c r="AA69" s="2">
        <v>138</v>
      </c>
      <c r="AB69" s="2">
        <v>114</v>
      </c>
      <c r="AC69" s="2">
        <v>183</v>
      </c>
      <c r="AD69" s="52">
        <v>118</v>
      </c>
    </row>
    <row r="70" spans="1:30" ht="12.75" customHeight="1">
      <c r="A70" s="46" t="s">
        <v>101</v>
      </c>
      <c r="B70" s="26">
        <v>193</v>
      </c>
      <c r="C70" s="27">
        <v>153</v>
      </c>
      <c r="D70" s="1">
        <v>199</v>
      </c>
      <c r="E70" s="1">
        <v>205</v>
      </c>
      <c r="F70" s="1">
        <v>222</v>
      </c>
      <c r="G70" s="1">
        <v>216</v>
      </c>
      <c r="H70" s="1">
        <v>198</v>
      </c>
      <c r="I70" s="1">
        <v>204</v>
      </c>
      <c r="J70" s="1">
        <v>214</v>
      </c>
      <c r="K70" s="1">
        <v>230</v>
      </c>
      <c r="L70" s="1">
        <v>239</v>
      </c>
      <c r="M70" s="1">
        <v>210</v>
      </c>
      <c r="N70" s="1">
        <v>238</v>
      </c>
      <c r="O70" s="1">
        <v>203</v>
      </c>
      <c r="P70" s="1">
        <v>230</v>
      </c>
      <c r="Q70" s="1">
        <v>206</v>
      </c>
      <c r="R70" s="1">
        <v>229</v>
      </c>
      <c r="S70" s="1">
        <v>228</v>
      </c>
      <c r="T70" s="28">
        <v>235</v>
      </c>
      <c r="U70" s="3">
        <v>219</v>
      </c>
      <c r="V70" s="31">
        <v>244</v>
      </c>
      <c r="W70" s="3">
        <v>233</v>
      </c>
      <c r="X70" s="2">
        <v>223</v>
      </c>
      <c r="Y70" s="1">
        <v>185</v>
      </c>
      <c r="Z70" s="2">
        <v>223</v>
      </c>
      <c r="AA70" s="2">
        <v>205</v>
      </c>
      <c r="AB70" s="2">
        <v>270</v>
      </c>
      <c r="AC70" s="2">
        <v>302</v>
      </c>
      <c r="AD70" s="52">
        <v>260</v>
      </c>
    </row>
    <row r="71" spans="1:30" ht="12.75" customHeight="1">
      <c r="A71" s="2" t="s">
        <v>56</v>
      </c>
      <c r="B71" s="26">
        <v>327</v>
      </c>
      <c r="C71" s="27">
        <v>124</v>
      </c>
      <c r="D71" s="1">
        <v>300</v>
      </c>
      <c r="E71" s="1">
        <v>309</v>
      </c>
      <c r="F71" s="1">
        <v>250</v>
      </c>
      <c r="G71" s="1">
        <v>89</v>
      </c>
      <c r="H71" s="1">
        <v>79</v>
      </c>
      <c r="I71" s="1">
        <v>87</v>
      </c>
      <c r="J71" s="1">
        <v>359</v>
      </c>
      <c r="K71" s="1">
        <v>440</v>
      </c>
      <c r="L71" s="1">
        <v>348</v>
      </c>
      <c r="M71" s="1">
        <v>292</v>
      </c>
      <c r="N71" s="1">
        <v>297</v>
      </c>
      <c r="O71" s="1">
        <v>326</v>
      </c>
      <c r="P71" s="1">
        <v>258</v>
      </c>
      <c r="Q71" s="1">
        <v>300</v>
      </c>
      <c r="R71" s="1">
        <v>255</v>
      </c>
      <c r="S71" s="1">
        <v>271</v>
      </c>
      <c r="T71" s="28">
        <v>252</v>
      </c>
      <c r="U71" s="3">
        <v>287</v>
      </c>
      <c r="V71" s="31">
        <v>272</v>
      </c>
      <c r="W71" s="3">
        <v>267</v>
      </c>
      <c r="X71" s="2">
        <v>253</v>
      </c>
      <c r="Y71" s="1">
        <v>268</v>
      </c>
      <c r="Z71" s="2">
        <v>241</v>
      </c>
      <c r="AA71" s="2">
        <v>276</v>
      </c>
      <c r="AB71" s="2">
        <v>282</v>
      </c>
      <c r="AC71" s="2">
        <v>274</v>
      </c>
      <c r="AD71" s="52">
        <v>244</v>
      </c>
    </row>
    <row r="72" spans="1:30" ht="12.75" customHeight="1">
      <c r="A72" s="2" t="s">
        <v>57</v>
      </c>
      <c r="B72" s="26">
        <v>296</v>
      </c>
      <c r="C72" s="27">
        <v>259</v>
      </c>
      <c r="D72" s="1">
        <v>340</v>
      </c>
      <c r="E72" s="1">
        <v>151</v>
      </c>
      <c r="F72" s="1">
        <v>130</v>
      </c>
      <c r="G72" s="1">
        <v>131</v>
      </c>
      <c r="H72" s="1">
        <v>149</v>
      </c>
      <c r="I72" s="1">
        <v>129</v>
      </c>
      <c r="J72" s="1">
        <v>131</v>
      </c>
      <c r="K72" s="1">
        <v>142</v>
      </c>
      <c r="L72" s="1">
        <v>143</v>
      </c>
      <c r="M72" s="1">
        <v>166</v>
      </c>
      <c r="N72" s="1">
        <v>201</v>
      </c>
      <c r="O72" s="1">
        <v>141</v>
      </c>
      <c r="P72" s="1">
        <v>177</v>
      </c>
      <c r="Q72" s="1">
        <v>184</v>
      </c>
      <c r="R72" s="1">
        <v>132</v>
      </c>
      <c r="S72" s="1">
        <v>404</v>
      </c>
      <c r="T72" s="28">
        <v>689</v>
      </c>
      <c r="U72" s="3">
        <v>147</v>
      </c>
      <c r="V72" s="31">
        <v>149</v>
      </c>
      <c r="W72" s="3">
        <v>137</v>
      </c>
      <c r="X72" s="2">
        <v>141</v>
      </c>
      <c r="Y72" s="1">
        <v>166</v>
      </c>
      <c r="Z72" s="2">
        <v>151</v>
      </c>
      <c r="AA72" s="2">
        <v>171</v>
      </c>
      <c r="AB72" s="2">
        <v>195</v>
      </c>
      <c r="AC72" s="2">
        <v>207</v>
      </c>
      <c r="AD72" s="52">
        <v>165</v>
      </c>
    </row>
    <row r="73" spans="1:30" ht="12.75" customHeight="1">
      <c r="A73" s="2" t="s">
        <v>58</v>
      </c>
      <c r="B73" s="26">
        <v>224</v>
      </c>
      <c r="C73" s="27">
        <v>192</v>
      </c>
      <c r="D73" s="1">
        <v>192</v>
      </c>
      <c r="E73" s="1">
        <v>238</v>
      </c>
      <c r="F73" s="1">
        <v>254</v>
      </c>
      <c r="G73" s="1">
        <v>271</v>
      </c>
      <c r="H73" s="1">
        <v>295</v>
      </c>
      <c r="I73" s="1">
        <v>351</v>
      </c>
      <c r="J73" s="1">
        <v>330</v>
      </c>
      <c r="K73" s="1">
        <v>296</v>
      </c>
      <c r="L73" s="1">
        <v>343</v>
      </c>
      <c r="M73" s="1">
        <v>287</v>
      </c>
      <c r="N73" s="1">
        <v>274</v>
      </c>
      <c r="O73" s="1">
        <v>279</v>
      </c>
      <c r="P73" s="1">
        <v>262</v>
      </c>
      <c r="Q73" s="1">
        <v>276</v>
      </c>
      <c r="R73" s="1">
        <v>248</v>
      </c>
      <c r="S73" s="1">
        <v>213</v>
      </c>
      <c r="T73" s="28">
        <v>175</v>
      </c>
      <c r="U73" s="3">
        <v>214</v>
      </c>
      <c r="V73" s="31">
        <v>199</v>
      </c>
      <c r="W73" s="3">
        <v>224</v>
      </c>
      <c r="X73" s="2">
        <v>219</v>
      </c>
      <c r="Y73" s="1">
        <v>182</v>
      </c>
      <c r="Z73" s="2">
        <v>155</v>
      </c>
      <c r="AA73" s="2">
        <v>214</v>
      </c>
      <c r="AB73" s="2">
        <v>203</v>
      </c>
      <c r="AC73" s="2">
        <v>227</v>
      </c>
      <c r="AD73" s="52">
        <v>148</v>
      </c>
    </row>
    <row r="74" spans="1:30" ht="12.75" customHeight="1">
      <c r="A74" s="2" t="s">
        <v>59</v>
      </c>
      <c r="B74" s="26">
        <v>242</v>
      </c>
      <c r="C74" s="27">
        <v>216</v>
      </c>
      <c r="D74" s="1">
        <v>204</v>
      </c>
      <c r="E74" s="1">
        <v>270</v>
      </c>
      <c r="F74" s="1">
        <v>273</v>
      </c>
      <c r="G74" s="1">
        <v>297</v>
      </c>
      <c r="H74" s="1">
        <v>304</v>
      </c>
      <c r="I74" s="1">
        <v>341</v>
      </c>
      <c r="J74" s="1">
        <v>306</v>
      </c>
      <c r="K74" s="1">
        <v>308</v>
      </c>
      <c r="L74" s="1">
        <v>346</v>
      </c>
      <c r="M74" s="1">
        <v>313</v>
      </c>
      <c r="N74" s="1">
        <v>354</v>
      </c>
      <c r="O74" s="1">
        <v>346</v>
      </c>
      <c r="P74" s="1">
        <v>420</v>
      </c>
      <c r="Q74" s="1">
        <v>418</v>
      </c>
      <c r="R74" s="1">
        <v>435</v>
      </c>
      <c r="S74" s="1">
        <v>435</v>
      </c>
      <c r="T74" s="28">
        <v>458</v>
      </c>
      <c r="U74" s="3">
        <v>414</v>
      </c>
      <c r="V74" s="31">
        <v>422</v>
      </c>
      <c r="W74" s="3">
        <v>476</v>
      </c>
      <c r="X74" s="1">
        <v>496</v>
      </c>
      <c r="Y74" s="1">
        <v>440</v>
      </c>
      <c r="Z74" s="2">
        <v>489</v>
      </c>
      <c r="AA74" s="2">
        <v>526</v>
      </c>
      <c r="AB74" s="2">
        <v>540</v>
      </c>
      <c r="AC74" s="2">
        <v>484</v>
      </c>
      <c r="AD74" s="52">
        <v>556</v>
      </c>
    </row>
    <row r="75" spans="1:30" ht="12.75" customHeight="1">
      <c r="A75" s="2" t="s">
        <v>60</v>
      </c>
      <c r="B75" s="26">
        <v>344</v>
      </c>
      <c r="C75" s="27">
        <v>474</v>
      </c>
      <c r="D75" s="1">
        <v>434</v>
      </c>
      <c r="E75" s="1">
        <v>560</v>
      </c>
      <c r="F75" s="1">
        <v>414</v>
      </c>
      <c r="G75" s="1">
        <v>377</v>
      </c>
      <c r="H75" s="1">
        <v>368</v>
      </c>
      <c r="I75" s="1">
        <v>368</v>
      </c>
      <c r="J75" s="1">
        <v>411</v>
      </c>
      <c r="K75" s="1">
        <v>405</v>
      </c>
      <c r="L75" s="33" t="s">
        <v>39</v>
      </c>
      <c r="M75" s="1">
        <v>351</v>
      </c>
      <c r="N75" s="33" t="s">
        <v>39</v>
      </c>
      <c r="O75" s="1">
        <v>394</v>
      </c>
      <c r="P75" s="1">
        <v>383</v>
      </c>
      <c r="Q75" s="1">
        <v>405</v>
      </c>
      <c r="R75" s="1">
        <v>412</v>
      </c>
      <c r="S75" s="1">
        <v>406</v>
      </c>
      <c r="T75" s="28">
        <v>318</v>
      </c>
      <c r="U75" s="3">
        <v>453</v>
      </c>
      <c r="V75" s="31">
        <v>402</v>
      </c>
      <c r="W75" s="3">
        <v>442</v>
      </c>
      <c r="X75" s="1">
        <v>440</v>
      </c>
      <c r="Y75" s="1">
        <v>423</v>
      </c>
      <c r="Z75" s="1">
        <v>423</v>
      </c>
      <c r="AA75" s="1">
        <v>367</v>
      </c>
      <c r="AB75" s="1">
        <v>337</v>
      </c>
      <c r="AC75" s="1">
        <v>338</v>
      </c>
      <c r="AD75" s="52">
        <v>431</v>
      </c>
    </row>
    <row r="76" spans="1:30" ht="12.75" customHeight="1">
      <c r="A76" s="2" t="s">
        <v>61</v>
      </c>
      <c r="B76" s="26">
        <v>134</v>
      </c>
      <c r="C76" s="27">
        <v>122</v>
      </c>
      <c r="D76" s="1">
        <v>129</v>
      </c>
      <c r="E76" s="1">
        <v>100</v>
      </c>
      <c r="F76" s="1">
        <v>83</v>
      </c>
      <c r="G76" s="1">
        <v>79</v>
      </c>
      <c r="H76" s="1">
        <v>80</v>
      </c>
      <c r="I76" s="1">
        <v>79</v>
      </c>
      <c r="J76" s="1">
        <v>90</v>
      </c>
      <c r="K76" s="1">
        <v>99</v>
      </c>
      <c r="L76" s="1">
        <v>113</v>
      </c>
      <c r="M76" s="1">
        <v>144</v>
      </c>
      <c r="N76" s="1">
        <v>126</v>
      </c>
      <c r="O76" s="1">
        <v>105</v>
      </c>
      <c r="P76" s="1">
        <v>143</v>
      </c>
      <c r="Q76" s="1">
        <v>146</v>
      </c>
      <c r="R76" s="1">
        <v>171</v>
      </c>
      <c r="S76" s="1">
        <v>156</v>
      </c>
      <c r="T76" s="28">
        <v>144</v>
      </c>
      <c r="U76" s="3">
        <v>164</v>
      </c>
      <c r="V76" s="31">
        <v>154</v>
      </c>
      <c r="W76" s="3">
        <v>183</v>
      </c>
      <c r="X76" s="1">
        <v>194</v>
      </c>
      <c r="Y76" s="1">
        <v>190</v>
      </c>
      <c r="Z76" s="1">
        <v>187</v>
      </c>
      <c r="AA76" s="1">
        <v>189</v>
      </c>
      <c r="AB76" s="1">
        <v>193</v>
      </c>
      <c r="AC76" s="1">
        <v>190</v>
      </c>
      <c r="AD76" s="52">
        <v>174</v>
      </c>
    </row>
    <row r="77" spans="1:30" ht="12.75" customHeight="1">
      <c r="A77" s="2" t="s">
        <v>62</v>
      </c>
      <c r="B77" s="26">
        <v>100</v>
      </c>
      <c r="C77" s="27">
        <v>110</v>
      </c>
      <c r="D77" s="1">
        <v>147</v>
      </c>
      <c r="E77" s="1">
        <v>114</v>
      </c>
      <c r="F77" s="1">
        <v>96</v>
      </c>
      <c r="G77" s="1">
        <v>80</v>
      </c>
      <c r="H77" s="1">
        <v>108</v>
      </c>
      <c r="I77" s="1">
        <v>124</v>
      </c>
      <c r="J77" s="1">
        <v>89</v>
      </c>
      <c r="K77" s="1">
        <v>117</v>
      </c>
      <c r="L77" s="1">
        <v>93</v>
      </c>
      <c r="M77" s="1">
        <v>173</v>
      </c>
      <c r="N77" s="1">
        <v>137</v>
      </c>
      <c r="O77" s="1">
        <v>85</v>
      </c>
      <c r="P77" s="1">
        <v>92</v>
      </c>
      <c r="Q77" s="1">
        <v>103</v>
      </c>
      <c r="R77" s="1">
        <v>143</v>
      </c>
      <c r="S77" s="1">
        <v>158</v>
      </c>
      <c r="T77" s="28">
        <v>125</v>
      </c>
      <c r="U77" s="3">
        <v>143</v>
      </c>
      <c r="V77" s="31">
        <v>165</v>
      </c>
      <c r="W77" s="3">
        <v>170</v>
      </c>
      <c r="X77" s="1">
        <v>154</v>
      </c>
      <c r="Y77" s="1">
        <v>166</v>
      </c>
      <c r="Z77" s="1">
        <v>137</v>
      </c>
      <c r="AA77" s="1">
        <v>131</v>
      </c>
      <c r="AB77" s="1">
        <v>143</v>
      </c>
      <c r="AC77" s="1">
        <v>196</v>
      </c>
      <c r="AD77" s="52">
        <v>183</v>
      </c>
    </row>
    <row r="78" spans="1:30" ht="12.75" customHeight="1">
      <c r="A78" s="2" t="s">
        <v>63</v>
      </c>
      <c r="B78" s="26">
        <v>328</v>
      </c>
      <c r="C78" s="27">
        <v>162</v>
      </c>
      <c r="D78" s="1">
        <v>152</v>
      </c>
      <c r="E78" s="1">
        <v>256</v>
      </c>
      <c r="F78" s="1">
        <v>276</v>
      </c>
      <c r="G78" s="1">
        <v>156</v>
      </c>
      <c r="H78" s="1">
        <v>102</v>
      </c>
      <c r="I78" s="1">
        <v>201</v>
      </c>
      <c r="J78" s="1">
        <v>565</v>
      </c>
      <c r="K78" s="1">
        <v>631</v>
      </c>
      <c r="L78" s="1">
        <v>354</v>
      </c>
      <c r="M78" s="1">
        <v>359</v>
      </c>
      <c r="N78" s="1">
        <v>356</v>
      </c>
      <c r="O78" s="1">
        <v>407</v>
      </c>
      <c r="P78" s="1">
        <v>478</v>
      </c>
      <c r="Q78" s="1">
        <v>522</v>
      </c>
      <c r="R78" s="1">
        <v>625</v>
      </c>
      <c r="S78" s="1">
        <v>621</v>
      </c>
      <c r="T78" s="28">
        <v>583</v>
      </c>
      <c r="U78" s="3">
        <v>780</v>
      </c>
      <c r="V78" s="31">
        <v>567</v>
      </c>
      <c r="W78" s="3">
        <v>674</v>
      </c>
      <c r="X78" s="1">
        <v>781</v>
      </c>
      <c r="Y78" s="1">
        <v>917</v>
      </c>
      <c r="Z78" s="1">
        <v>820</v>
      </c>
      <c r="AA78" s="1">
        <v>934</v>
      </c>
      <c r="AB78" s="1">
        <v>881</v>
      </c>
      <c r="AC78" s="1">
        <v>1092</v>
      </c>
      <c r="AD78" s="52">
        <v>1104</v>
      </c>
    </row>
    <row r="79" spans="1:30" ht="12.75" customHeight="1">
      <c r="A79" s="2" t="s">
        <v>64</v>
      </c>
      <c r="B79" s="26">
        <v>135</v>
      </c>
      <c r="C79" s="27">
        <v>141</v>
      </c>
      <c r="D79" s="1">
        <v>127</v>
      </c>
      <c r="E79" s="1">
        <v>104</v>
      </c>
      <c r="F79" s="1">
        <v>112</v>
      </c>
      <c r="G79" s="1">
        <v>105</v>
      </c>
      <c r="H79" s="1">
        <v>122</v>
      </c>
      <c r="I79" s="1">
        <v>128</v>
      </c>
      <c r="J79" s="1">
        <v>91</v>
      </c>
      <c r="K79" s="1">
        <v>117</v>
      </c>
      <c r="L79" s="1">
        <v>103</v>
      </c>
      <c r="M79" s="1">
        <v>130</v>
      </c>
      <c r="N79" s="1">
        <v>163</v>
      </c>
      <c r="O79" s="1">
        <v>165</v>
      </c>
      <c r="P79" s="1">
        <v>167</v>
      </c>
      <c r="Q79" s="1">
        <v>187</v>
      </c>
      <c r="R79" s="1">
        <v>224</v>
      </c>
      <c r="S79" s="1">
        <v>225</v>
      </c>
      <c r="T79" s="28">
        <v>198</v>
      </c>
      <c r="U79" s="3">
        <v>231</v>
      </c>
      <c r="V79" s="31">
        <v>247</v>
      </c>
      <c r="W79" s="3">
        <v>280</v>
      </c>
      <c r="X79" s="1">
        <v>318</v>
      </c>
      <c r="Y79" s="1">
        <v>313</v>
      </c>
      <c r="Z79" s="1">
        <v>322</v>
      </c>
      <c r="AA79" s="1">
        <v>290</v>
      </c>
      <c r="AB79" s="1">
        <v>294</v>
      </c>
      <c r="AC79" s="1">
        <v>316</v>
      </c>
      <c r="AD79" s="52">
        <v>340</v>
      </c>
    </row>
    <row r="80" spans="1:30" ht="12.75" customHeight="1">
      <c r="A80" s="2" t="s">
        <v>65</v>
      </c>
      <c r="B80" s="26">
        <v>41</v>
      </c>
      <c r="C80" s="27">
        <v>49</v>
      </c>
      <c r="D80" s="1">
        <v>113</v>
      </c>
      <c r="E80" s="1">
        <v>173</v>
      </c>
      <c r="F80" s="1">
        <v>69</v>
      </c>
      <c r="G80" s="1">
        <v>76</v>
      </c>
      <c r="H80" s="1">
        <v>102</v>
      </c>
      <c r="I80" s="1">
        <v>105</v>
      </c>
      <c r="J80" s="1">
        <v>101</v>
      </c>
      <c r="K80" s="1">
        <v>85</v>
      </c>
      <c r="L80" s="1">
        <v>88</v>
      </c>
      <c r="M80" s="1">
        <v>99</v>
      </c>
      <c r="N80" s="1">
        <v>98</v>
      </c>
      <c r="O80" s="1">
        <v>114</v>
      </c>
      <c r="P80" s="1">
        <v>172</v>
      </c>
      <c r="Q80" s="1">
        <v>132</v>
      </c>
      <c r="R80" s="1">
        <v>128</v>
      </c>
      <c r="S80" s="1">
        <v>122</v>
      </c>
      <c r="T80" s="28">
        <v>166</v>
      </c>
      <c r="U80" s="3">
        <v>161</v>
      </c>
      <c r="V80" s="31">
        <v>170</v>
      </c>
      <c r="W80" s="3">
        <v>150</v>
      </c>
      <c r="X80" s="1">
        <v>194</v>
      </c>
      <c r="Y80" s="1">
        <v>211</v>
      </c>
      <c r="Z80" s="1">
        <v>204</v>
      </c>
      <c r="AA80" s="1">
        <v>186</v>
      </c>
      <c r="AB80" s="1">
        <v>178</v>
      </c>
      <c r="AC80" s="1">
        <v>199</v>
      </c>
      <c r="AD80" s="52">
        <v>218</v>
      </c>
    </row>
    <row r="81" spans="1:30" ht="12.75" customHeight="1">
      <c r="A81" s="2" t="s">
        <v>66</v>
      </c>
      <c r="B81" s="26">
        <v>175</v>
      </c>
      <c r="C81" s="27">
        <v>141</v>
      </c>
      <c r="D81" s="1">
        <v>133</v>
      </c>
      <c r="E81" s="1">
        <v>151</v>
      </c>
      <c r="F81" s="1">
        <v>229</v>
      </c>
      <c r="G81" s="1">
        <v>296</v>
      </c>
      <c r="H81" s="1">
        <v>330</v>
      </c>
      <c r="I81" s="1">
        <v>467</v>
      </c>
      <c r="J81" s="1">
        <v>397</v>
      </c>
      <c r="K81" s="1">
        <v>308</v>
      </c>
      <c r="L81" s="1">
        <v>333</v>
      </c>
      <c r="M81" s="1">
        <v>370</v>
      </c>
      <c r="N81" s="1">
        <v>315</v>
      </c>
      <c r="O81" s="1">
        <v>408</v>
      </c>
      <c r="P81" s="1">
        <v>411</v>
      </c>
      <c r="Q81" s="1">
        <v>454</v>
      </c>
      <c r="R81" s="1">
        <v>424</v>
      </c>
      <c r="S81" s="1">
        <v>461</v>
      </c>
      <c r="T81" s="28">
        <v>471</v>
      </c>
      <c r="U81" s="3">
        <v>430</v>
      </c>
      <c r="V81" s="31">
        <v>408</v>
      </c>
      <c r="W81" s="3">
        <v>426</v>
      </c>
      <c r="X81" s="1">
        <v>401</v>
      </c>
      <c r="Y81" s="1">
        <v>376</v>
      </c>
      <c r="Z81" s="1">
        <v>359</v>
      </c>
      <c r="AA81" s="1">
        <v>375</v>
      </c>
      <c r="AB81" s="1">
        <v>441</v>
      </c>
      <c r="AC81" s="1">
        <v>419</v>
      </c>
      <c r="AD81" s="52">
        <v>428</v>
      </c>
    </row>
    <row r="82" spans="1:30" ht="12.75" customHeight="1">
      <c r="A82" s="3" t="s">
        <v>67</v>
      </c>
      <c r="B82" s="26">
        <v>89</v>
      </c>
      <c r="C82" s="27">
        <v>115</v>
      </c>
      <c r="D82" s="1">
        <v>130</v>
      </c>
      <c r="E82" s="1">
        <v>258</v>
      </c>
      <c r="F82" s="1">
        <v>137</v>
      </c>
      <c r="G82" s="1">
        <v>433</v>
      </c>
      <c r="H82" s="1">
        <v>106</v>
      </c>
      <c r="I82" s="1">
        <v>78</v>
      </c>
      <c r="J82" s="1">
        <v>96</v>
      </c>
      <c r="K82" s="1">
        <v>97</v>
      </c>
      <c r="L82" s="1">
        <v>65</v>
      </c>
      <c r="M82" s="1">
        <v>483</v>
      </c>
      <c r="N82" s="1">
        <v>493</v>
      </c>
      <c r="O82" s="1">
        <v>394</v>
      </c>
      <c r="P82" s="1">
        <v>240</v>
      </c>
      <c r="Q82" s="1">
        <v>117</v>
      </c>
      <c r="R82" s="1">
        <v>106</v>
      </c>
      <c r="S82" s="1">
        <v>107</v>
      </c>
      <c r="T82" s="28">
        <v>139</v>
      </c>
      <c r="U82" s="3">
        <v>148</v>
      </c>
      <c r="V82" s="31">
        <v>132</v>
      </c>
      <c r="W82" s="3">
        <v>149</v>
      </c>
      <c r="X82" s="1">
        <v>94</v>
      </c>
      <c r="Y82" s="1">
        <v>116</v>
      </c>
      <c r="Z82" s="1">
        <v>131</v>
      </c>
      <c r="AA82" s="1">
        <v>188</v>
      </c>
      <c r="AB82" s="1">
        <v>167</v>
      </c>
      <c r="AC82" s="1">
        <v>252</v>
      </c>
      <c r="AD82" s="52">
        <v>202</v>
      </c>
    </row>
    <row r="83" spans="1:30" ht="12.75" customHeight="1">
      <c r="A83" s="2" t="s">
        <v>68</v>
      </c>
      <c r="B83" s="26">
        <v>347</v>
      </c>
      <c r="C83" s="27">
        <v>358</v>
      </c>
      <c r="D83" s="1">
        <v>407</v>
      </c>
      <c r="E83" s="1">
        <v>372</v>
      </c>
      <c r="F83" s="1">
        <v>348</v>
      </c>
      <c r="G83" s="1">
        <v>302</v>
      </c>
      <c r="H83" s="1">
        <v>245</v>
      </c>
      <c r="I83" s="1">
        <v>263</v>
      </c>
      <c r="J83" s="1">
        <v>291</v>
      </c>
      <c r="K83" s="1">
        <v>250</v>
      </c>
      <c r="L83" s="1">
        <v>228</v>
      </c>
      <c r="M83" s="1">
        <v>196</v>
      </c>
      <c r="N83" s="1">
        <v>345</v>
      </c>
      <c r="O83" s="1">
        <v>373</v>
      </c>
      <c r="P83" s="1">
        <v>288</v>
      </c>
      <c r="Q83" s="1">
        <v>362</v>
      </c>
      <c r="R83" s="1">
        <v>319</v>
      </c>
      <c r="S83" s="1">
        <v>280</v>
      </c>
      <c r="T83" s="28">
        <v>303</v>
      </c>
      <c r="U83" s="3">
        <v>270</v>
      </c>
      <c r="V83" s="31">
        <v>295</v>
      </c>
      <c r="W83" s="3">
        <v>213</v>
      </c>
      <c r="X83" s="1">
        <v>244</v>
      </c>
      <c r="Y83" s="1">
        <v>305</v>
      </c>
      <c r="Z83" s="1">
        <v>370</v>
      </c>
      <c r="AA83" s="1">
        <v>396</v>
      </c>
      <c r="AB83" s="1">
        <v>367</v>
      </c>
      <c r="AC83" s="1">
        <v>358</v>
      </c>
      <c r="AD83" s="52">
        <v>417</v>
      </c>
    </row>
    <row r="84" spans="1:30" ht="12.75" customHeight="1">
      <c r="A84" s="2" t="s">
        <v>69</v>
      </c>
      <c r="B84" s="26">
        <v>707</v>
      </c>
      <c r="C84" s="27">
        <v>676</v>
      </c>
      <c r="D84" s="1">
        <v>696</v>
      </c>
      <c r="E84" s="1">
        <v>888</v>
      </c>
      <c r="F84" s="1">
        <v>733</v>
      </c>
      <c r="G84" s="1">
        <v>583</v>
      </c>
      <c r="H84" s="1">
        <v>682</v>
      </c>
      <c r="I84" s="1">
        <v>887</v>
      </c>
      <c r="J84" s="1">
        <v>916</v>
      </c>
      <c r="K84" s="1">
        <v>856</v>
      </c>
      <c r="L84" s="1">
        <v>774</v>
      </c>
      <c r="M84" s="1">
        <v>907</v>
      </c>
      <c r="N84" s="1">
        <v>950</v>
      </c>
      <c r="O84" s="1">
        <v>969</v>
      </c>
      <c r="P84" s="1">
        <v>945</v>
      </c>
      <c r="Q84" s="1">
        <v>969</v>
      </c>
      <c r="R84" s="1">
        <v>1119</v>
      </c>
      <c r="S84" s="1">
        <v>1274</v>
      </c>
      <c r="T84" s="28">
        <v>1270</v>
      </c>
      <c r="U84" s="1">
        <v>1405</v>
      </c>
      <c r="V84" s="28">
        <v>1330</v>
      </c>
      <c r="W84" s="1">
        <v>1409</v>
      </c>
      <c r="X84" s="1">
        <v>1377</v>
      </c>
      <c r="Y84" s="1">
        <v>1456</v>
      </c>
      <c r="Z84" s="1">
        <v>1521</v>
      </c>
      <c r="AA84" s="1">
        <v>1564</v>
      </c>
      <c r="AB84" s="1">
        <v>1602</v>
      </c>
      <c r="AC84" s="1">
        <v>1627</v>
      </c>
      <c r="AD84" s="52">
        <v>1720</v>
      </c>
    </row>
    <row r="85" spans="1:30" ht="12.75" customHeight="1">
      <c r="A85" s="2" t="s">
        <v>70</v>
      </c>
      <c r="B85" s="26">
        <v>405</v>
      </c>
      <c r="C85" s="27">
        <v>495</v>
      </c>
      <c r="D85" s="1">
        <v>367</v>
      </c>
      <c r="E85" s="1">
        <v>497</v>
      </c>
      <c r="F85" s="1">
        <v>506</v>
      </c>
      <c r="G85" s="1">
        <v>582</v>
      </c>
      <c r="H85" s="1">
        <v>528</v>
      </c>
      <c r="I85" s="1">
        <v>641</v>
      </c>
      <c r="J85" s="1">
        <v>468</v>
      </c>
      <c r="K85" s="1">
        <v>455</v>
      </c>
      <c r="L85" s="1">
        <v>456</v>
      </c>
      <c r="M85" s="1">
        <v>457</v>
      </c>
      <c r="N85" s="1">
        <v>416</v>
      </c>
      <c r="O85" s="1">
        <v>378</v>
      </c>
      <c r="P85" s="1">
        <v>460</v>
      </c>
      <c r="Q85" s="1">
        <v>350</v>
      </c>
      <c r="R85" s="1">
        <v>451</v>
      </c>
      <c r="S85" s="1">
        <v>465</v>
      </c>
      <c r="T85" s="28">
        <v>475</v>
      </c>
      <c r="U85" s="3">
        <v>455</v>
      </c>
      <c r="V85" s="31">
        <v>475</v>
      </c>
      <c r="W85" s="3">
        <v>281</v>
      </c>
      <c r="X85" s="1">
        <v>309</v>
      </c>
      <c r="Y85" s="1">
        <v>304</v>
      </c>
      <c r="Z85" s="1">
        <v>305</v>
      </c>
      <c r="AA85" s="1">
        <v>387</v>
      </c>
      <c r="AB85" s="1">
        <v>360</v>
      </c>
      <c r="AC85" s="1">
        <v>400</v>
      </c>
      <c r="AD85" s="52">
        <v>418</v>
      </c>
    </row>
    <row r="86" spans="1:30" ht="12.75" customHeight="1">
      <c r="A86" s="2" t="s">
        <v>71</v>
      </c>
      <c r="B86" s="26">
        <v>375</v>
      </c>
      <c r="C86" s="27">
        <v>349</v>
      </c>
      <c r="D86" s="1">
        <v>308</v>
      </c>
      <c r="E86" s="1">
        <v>258</v>
      </c>
      <c r="F86" s="1">
        <v>253</v>
      </c>
      <c r="G86" s="1">
        <v>281</v>
      </c>
      <c r="H86" s="1">
        <v>266</v>
      </c>
      <c r="I86" s="1">
        <v>278</v>
      </c>
      <c r="J86" s="1">
        <v>229</v>
      </c>
      <c r="K86" s="1">
        <v>223</v>
      </c>
      <c r="L86" s="1">
        <v>201</v>
      </c>
      <c r="M86" s="1">
        <v>204</v>
      </c>
      <c r="N86" s="1">
        <v>200</v>
      </c>
      <c r="O86" s="1">
        <v>187</v>
      </c>
      <c r="P86" s="1">
        <v>170</v>
      </c>
      <c r="Q86" s="1">
        <v>164</v>
      </c>
      <c r="R86" s="1">
        <v>91</v>
      </c>
      <c r="S86" s="1">
        <v>110</v>
      </c>
      <c r="T86" s="28">
        <v>127</v>
      </c>
      <c r="U86" s="3">
        <v>134</v>
      </c>
      <c r="V86" s="31">
        <v>128</v>
      </c>
      <c r="W86" s="3">
        <v>122</v>
      </c>
      <c r="X86" s="1">
        <v>139</v>
      </c>
      <c r="Y86" s="1">
        <v>157</v>
      </c>
      <c r="Z86" s="1">
        <v>203</v>
      </c>
      <c r="AA86" s="1">
        <v>225</v>
      </c>
      <c r="AB86" s="1">
        <v>225</v>
      </c>
      <c r="AC86" s="1">
        <v>223</v>
      </c>
      <c r="AD86" s="52">
        <v>231</v>
      </c>
    </row>
    <row r="87" spans="1:30" ht="12.75" hidden="1" customHeight="1">
      <c r="A87" s="2" t="s">
        <v>72</v>
      </c>
      <c r="B87" s="26">
        <v>149</v>
      </c>
      <c r="C87" s="27">
        <v>152</v>
      </c>
      <c r="D87" s="1">
        <v>202</v>
      </c>
      <c r="E87" s="1">
        <v>208</v>
      </c>
      <c r="F87" s="1">
        <v>317</v>
      </c>
      <c r="G87" s="1">
        <v>354</v>
      </c>
      <c r="H87" s="1">
        <v>361</v>
      </c>
      <c r="I87" s="1">
        <v>346</v>
      </c>
      <c r="J87" s="1">
        <v>205</v>
      </c>
      <c r="K87" s="1">
        <v>118</v>
      </c>
      <c r="L87" s="33" t="s">
        <v>40</v>
      </c>
      <c r="M87" s="33" t="s">
        <v>40</v>
      </c>
      <c r="N87" s="33" t="s">
        <v>40</v>
      </c>
      <c r="O87" s="33" t="s">
        <v>40</v>
      </c>
      <c r="P87" s="33" t="s">
        <v>40</v>
      </c>
      <c r="Q87" s="33" t="s">
        <v>40</v>
      </c>
      <c r="R87" s="33" t="s">
        <v>40</v>
      </c>
      <c r="S87" s="33" t="s">
        <v>40</v>
      </c>
      <c r="T87" s="34" t="s">
        <v>40</v>
      </c>
      <c r="U87" s="33" t="s">
        <v>40</v>
      </c>
      <c r="V87" s="34" t="s">
        <v>40</v>
      </c>
      <c r="W87" s="33" t="s">
        <v>40</v>
      </c>
      <c r="X87" s="33" t="s">
        <v>40</v>
      </c>
      <c r="Y87" s="33" t="s">
        <v>40</v>
      </c>
      <c r="Z87" s="33" t="s">
        <v>40</v>
      </c>
      <c r="AA87" s="33" t="s">
        <v>40</v>
      </c>
      <c r="AB87" s="33"/>
      <c r="AC87" s="33"/>
      <c r="AD87" s="54"/>
    </row>
    <row r="88" spans="1:30" ht="12.75" customHeight="1">
      <c r="A88" s="2" t="s">
        <v>73</v>
      </c>
      <c r="B88" s="26">
        <v>1071</v>
      </c>
      <c r="C88" s="27">
        <v>1021</v>
      </c>
      <c r="D88" s="1">
        <v>1157</v>
      </c>
      <c r="E88" s="1">
        <v>986</v>
      </c>
      <c r="F88" s="1">
        <v>1039</v>
      </c>
      <c r="G88" s="1">
        <v>1038</v>
      </c>
      <c r="H88" s="1">
        <v>1297</v>
      </c>
      <c r="I88" s="1">
        <v>1212</v>
      </c>
      <c r="J88" s="1">
        <v>1178</v>
      </c>
      <c r="K88" s="1">
        <v>1223</v>
      </c>
      <c r="L88" s="1">
        <v>1171</v>
      </c>
      <c r="M88" s="1">
        <v>1094</v>
      </c>
      <c r="N88" s="1">
        <v>1240</v>
      </c>
      <c r="O88" s="1">
        <v>1255</v>
      </c>
      <c r="P88" s="1">
        <v>1184</v>
      </c>
      <c r="Q88" s="1">
        <v>1296</v>
      </c>
      <c r="R88" s="1">
        <v>1231</v>
      </c>
      <c r="S88" s="1">
        <v>1468</v>
      </c>
      <c r="T88" s="28">
        <v>1372</v>
      </c>
      <c r="U88" s="1">
        <v>1398</v>
      </c>
      <c r="V88" s="28">
        <v>1264</v>
      </c>
      <c r="W88" s="1">
        <v>1330</v>
      </c>
      <c r="X88" s="1">
        <v>1349</v>
      </c>
      <c r="Y88" s="1">
        <v>1440</v>
      </c>
      <c r="Z88" s="1">
        <v>1376</v>
      </c>
      <c r="AA88" s="1">
        <v>1461</v>
      </c>
      <c r="AB88" s="1">
        <v>1328</v>
      </c>
      <c r="AC88" s="1">
        <v>1417</v>
      </c>
      <c r="AD88" s="52">
        <v>1501</v>
      </c>
    </row>
    <row r="89" spans="1:30" ht="12.75" customHeight="1">
      <c r="A89" s="2" t="s">
        <v>74</v>
      </c>
      <c r="B89" s="26">
        <v>173</v>
      </c>
      <c r="C89" s="27">
        <v>164</v>
      </c>
      <c r="D89" s="1">
        <v>165</v>
      </c>
      <c r="E89" s="1">
        <v>167</v>
      </c>
      <c r="F89" s="1">
        <v>116</v>
      </c>
      <c r="G89" s="1">
        <v>109</v>
      </c>
      <c r="H89" s="33" t="s">
        <v>39</v>
      </c>
      <c r="I89" s="1">
        <v>175</v>
      </c>
      <c r="J89" s="1">
        <v>199</v>
      </c>
      <c r="K89" s="1">
        <v>217</v>
      </c>
      <c r="L89" s="1">
        <v>192</v>
      </c>
      <c r="M89" s="1">
        <v>204</v>
      </c>
      <c r="N89" s="1">
        <v>218</v>
      </c>
      <c r="O89" s="1">
        <v>195</v>
      </c>
      <c r="P89" s="1">
        <v>221</v>
      </c>
      <c r="Q89" s="1">
        <v>271</v>
      </c>
      <c r="R89" s="1">
        <v>323</v>
      </c>
      <c r="S89" s="1">
        <v>338</v>
      </c>
      <c r="T89" s="28">
        <v>367</v>
      </c>
      <c r="U89" s="3">
        <v>416</v>
      </c>
      <c r="V89" s="31">
        <v>388</v>
      </c>
      <c r="W89" s="3">
        <v>381</v>
      </c>
      <c r="X89" s="1">
        <v>419</v>
      </c>
      <c r="Y89" s="1">
        <v>452</v>
      </c>
      <c r="Z89" s="1">
        <v>393</v>
      </c>
      <c r="AA89" s="1">
        <v>418</v>
      </c>
      <c r="AB89" s="1">
        <v>489</v>
      </c>
      <c r="AC89" s="1">
        <v>411</v>
      </c>
      <c r="AD89" s="52">
        <v>479</v>
      </c>
    </row>
    <row r="90" spans="1:30" ht="12.75" customHeight="1">
      <c r="A90" s="2" t="s">
        <v>75</v>
      </c>
      <c r="B90" s="26">
        <v>224</v>
      </c>
      <c r="C90" s="27">
        <v>179</v>
      </c>
      <c r="D90" s="1">
        <v>189</v>
      </c>
      <c r="E90" s="1">
        <v>164</v>
      </c>
      <c r="F90" s="1">
        <v>198</v>
      </c>
      <c r="G90" s="1">
        <v>192</v>
      </c>
      <c r="H90" s="1">
        <v>181</v>
      </c>
      <c r="I90" s="1">
        <v>178</v>
      </c>
      <c r="J90" s="1">
        <v>239</v>
      </c>
      <c r="K90" s="1">
        <v>220</v>
      </c>
      <c r="L90" s="1">
        <v>194</v>
      </c>
      <c r="M90" s="1">
        <v>193</v>
      </c>
      <c r="N90" s="1">
        <v>180</v>
      </c>
      <c r="O90" s="1">
        <v>165</v>
      </c>
      <c r="P90" s="1">
        <v>189</v>
      </c>
      <c r="Q90" s="1">
        <v>215</v>
      </c>
      <c r="R90" s="1">
        <v>190</v>
      </c>
      <c r="S90" s="1">
        <v>205</v>
      </c>
      <c r="T90" s="28">
        <v>200</v>
      </c>
      <c r="U90" s="3">
        <v>173</v>
      </c>
      <c r="V90" s="31">
        <v>248</v>
      </c>
      <c r="W90" s="3">
        <v>207</v>
      </c>
      <c r="X90" s="1">
        <v>240</v>
      </c>
      <c r="Y90" s="1">
        <v>231</v>
      </c>
      <c r="Z90" s="1">
        <v>270</v>
      </c>
      <c r="AA90" s="1">
        <v>279</v>
      </c>
      <c r="AB90" s="1">
        <v>224</v>
      </c>
      <c r="AC90" s="1">
        <v>244</v>
      </c>
      <c r="AD90" s="52">
        <v>310</v>
      </c>
    </row>
    <row r="91" spans="1:30" ht="12.75" customHeight="1">
      <c r="A91" s="2" t="s">
        <v>76</v>
      </c>
      <c r="B91" s="26">
        <v>363</v>
      </c>
      <c r="C91" s="27">
        <v>287</v>
      </c>
      <c r="D91" s="1">
        <v>388</v>
      </c>
      <c r="E91" s="1">
        <v>387</v>
      </c>
      <c r="F91" s="1">
        <v>366</v>
      </c>
      <c r="G91" s="1">
        <v>392</v>
      </c>
      <c r="H91" s="1">
        <v>340</v>
      </c>
      <c r="I91" s="1">
        <v>340</v>
      </c>
      <c r="J91" s="1">
        <v>336</v>
      </c>
      <c r="K91" s="1">
        <v>363</v>
      </c>
      <c r="L91" s="1">
        <v>306</v>
      </c>
      <c r="M91" s="1">
        <v>354</v>
      </c>
      <c r="N91" s="1">
        <v>314</v>
      </c>
      <c r="O91" s="1">
        <v>315</v>
      </c>
      <c r="P91" s="1">
        <v>278</v>
      </c>
      <c r="Q91" s="1">
        <v>268</v>
      </c>
      <c r="R91" s="1">
        <v>279</v>
      </c>
      <c r="S91" s="1">
        <v>315</v>
      </c>
      <c r="T91" s="28">
        <v>286</v>
      </c>
      <c r="U91" s="3">
        <v>302</v>
      </c>
      <c r="V91" s="31">
        <v>242</v>
      </c>
      <c r="W91" s="3">
        <v>342</v>
      </c>
      <c r="X91" s="1">
        <v>357</v>
      </c>
      <c r="Y91" s="1">
        <v>286</v>
      </c>
      <c r="Z91" s="1">
        <v>302</v>
      </c>
      <c r="AA91" s="1">
        <v>248</v>
      </c>
      <c r="AB91" s="1">
        <v>287</v>
      </c>
      <c r="AC91" s="1">
        <v>265</v>
      </c>
      <c r="AD91" s="52">
        <v>282</v>
      </c>
    </row>
    <row r="92" spans="1:30" ht="12.75" customHeight="1">
      <c r="A92" s="2" t="s">
        <v>77</v>
      </c>
      <c r="B92" s="26">
        <v>241</v>
      </c>
      <c r="C92" s="27">
        <v>215</v>
      </c>
      <c r="D92" s="1">
        <v>194</v>
      </c>
      <c r="E92" s="1">
        <v>221</v>
      </c>
      <c r="F92" s="1">
        <v>226</v>
      </c>
      <c r="G92" s="1">
        <v>241</v>
      </c>
      <c r="H92" s="1">
        <v>231</v>
      </c>
      <c r="I92" s="1">
        <v>226</v>
      </c>
      <c r="J92" s="1">
        <v>200</v>
      </c>
      <c r="K92" s="1">
        <v>209</v>
      </c>
      <c r="L92" s="1">
        <v>180</v>
      </c>
      <c r="M92" s="1">
        <v>214</v>
      </c>
      <c r="N92" s="1">
        <v>207</v>
      </c>
      <c r="O92" s="1">
        <v>158</v>
      </c>
      <c r="P92" s="1">
        <v>141</v>
      </c>
      <c r="Q92" s="1">
        <v>98</v>
      </c>
      <c r="R92" s="1">
        <v>160</v>
      </c>
      <c r="S92" s="1">
        <v>153</v>
      </c>
      <c r="T92" s="28">
        <v>129</v>
      </c>
      <c r="U92" s="3">
        <v>152</v>
      </c>
      <c r="V92" s="31">
        <v>207</v>
      </c>
      <c r="W92" s="3">
        <v>241</v>
      </c>
      <c r="X92" s="1">
        <v>203</v>
      </c>
      <c r="Y92" s="1">
        <v>195</v>
      </c>
      <c r="Z92" s="1">
        <v>230</v>
      </c>
      <c r="AA92" s="1">
        <v>195</v>
      </c>
      <c r="AB92" s="1">
        <v>185</v>
      </c>
      <c r="AC92" s="1">
        <v>151</v>
      </c>
      <c r="AD92" s="52">
        <v>242</v>
      </c>
    </row>
    <row r="93" spans="1:30" ht="12.75" customHeight="1">
      <c r="A93" s="2" t="s">
        <v>33</v>
      </c>
      <c r="B93" s="26">
        <f>SUM(B69:B92)</f>
        <v>6824</v>
      </c>
      <c r="C93" s="26">
        <f t="shared" ref="C93:AD93" si="4">SUM(C69:C92)</f>
        <v>6290</v>
      </c>
      <c r="D93" s="26">
        <f t="shared" si="4"/>
        <v>6779</v>
      </c>
      <c r="E93" s="26">
        <f t="shared" si="4"/>
        <v>7118</v>
      </c>
      <c r="F93" s="26">
        <f t="shared" si="4"/>
        <v>6769</v>
      </c>
      <c r="G93" s="26">
        <f t="shared" si="4"/>
        <v>6755</v>
      </c>
      <c r="H93" s="26">
        <f t="shared" si="4"/>
        <v>6534</v>
      </c>
      <c r="I93" s="26">
        <f t="shared" si="4"/>
        <v>7272</v>
      </c>
      <c r="J93" s="26">
        <f t="shared" si="4"/>
        <v>7485</v>
      </c>
      <c r="K93" s="26">
        <f t="shared" si="4"/>
        <v>7510</v>
      </c>
      <c r="L93" s="26">
        <f t="shared" si="4"/>
        <v>6358</v>
      </c>
      <c r="M93" s="26">
        <f t="shared" si="4"/>
        <v>7291</v>
      </c>
      <c r="N93" s="26">
        <f t="shared" si="4"/>
        <v>7206</v>
      </c>
      <c r="O93" s="26">
        <f t="shared" si="4"/>
        <v>7473</v>
      </c>
      <c r="P93" s="26">
        <f t="shared" si="4"/>
        <v>7411</v>
      </c>
      <c r="Q93" s="26">
        <f t="shared" si="4"/>
        <v>7534</v>
      </c>
      <c r="R93" s="26">
        <f t="shared" si="4"/>
        <v>7791</v>
      </c>
      <c r="S93" s="26">
        <f t="shared" si="4"/>
        <v>8528</v>
      </c>
      <c r="T93" s="26">
        <f t="shared" si="4"/>
        <v>8595</v>
      </c>
      <c r="U93" s="26">
        <f t="shared" si="4"/>
        <v>8662</v>
      </c>
      <c r="V93" s="26">
        <f t="shared" si="4"/>
        <v>8264</v>
      </c>
      <c r="W93" s="26">
        <f t="shared" si="4"/>
        <v>8466</v>
      </c>
      <c r="X93" s="26">
        <f t="shared" si="4"/>
        <v>8697</v>
      </c>
      <c r="Y93" s="26">
        <f t="shared" si="4"/>
        <v>8911</v>
      </c>
      <c r="Z93" s="26">
        <f t="shared" si="4"/>
        <v>8966</v>
      </c>
      <c r="AA93" s="26">
        <f t="shared" si="4"/>
        <v>9363</v>
      </c>
      <c r="AB93" s="26">
        <f t="shared" si="4"/>
        <v>9305</v>
      </c>
      <c r="AC93" s="26">
        <f t="shared" si="4"/>
        <v>9775</v>
      </c>
      <c r="AD93" s="26">
        <f t="shared" si="4"/>
        <v>10171</v>
      </c>
    </row>
    <row r="94" spans="1:30" ht="12.75" customHeight="1">
      <c r="B94" s="4"/>
      <c r="C94" s="24"/>
      <c r="K94" s="1"/>
      <c r="L94" s="1"/>
      <c r="M94" s="1"/>
      <c r="N94" s="1"/>
      <c r="O94" s="1"/>
      <c r="P94" s="1"/>
      <c r="Q94" s="1"/>
      <c r="R94" s="1"/>
      <c r="S94" s="1"/>
      <c r="T94" s="28"/>
      <c r="V94" s="25"/>
    </row>
    <row r="95" spans="1:30" ht="45" customHeight="1">
      <c r="A95" s="23" t="s">
        <v>78</v>
      </c>
      <c r="B95" s="4"/>
      <c r="C95" s="24"/>
      <c r="K95" s="1"/>
      <c r="L95" s="1"/>
      <c r="M95" s="1"/>
      <c r="N95" s="1"/>
      <c r="O95" s="1"/>
      <c r="P95" s="1"/>
      <c r="Q95" s="1"/>
      <c r="R95" s="1"/>
      <c r="S95" s="1"/>
      <c r="T95" s="28"/>
      <c r="V95" s="25"/>
    </row>
    <row r="96" spans="1:30" ht="12.75" customHeight="1">
      <c r="A96" s="23"/>
      <c r="B96" s="4"/>
      <c r="C96" s="24"/>
      <c r="K96" s="1"/>
      <c r="L96" s="1"/>
      <c r="M96" s="1"/>
      <c r="N96" s="1"/>
      <c r="O96" s="1"/>
      <c r="P96" s="1"/>
      <c r="Q96" s="1"/>
      <c r="R96" s="1"/>
      <c r="S96" s="1"/>
      <c r="T96" s="28"/>
      <c r="V96" s="25"/>
    </row>
    <row r="97" spans="1:30" ht="12.75" customHeight="1">
      <c r="A97" s="2" t="s">
        <v>79</v>
      </c>
      <c r="B97" s="32" t="s">
        <v>39</v>
      </c>
      <c r="C97" s="37" t="s">
        <v>39</v>
      </c>
      <c r="D97" s="1">
        <v>201</v>
      </c>
      <c r="E97" s="1">
        <v>184</v>
      </c>
      <c r="F97" s="1">
        <v>210</v>
      </c>
      <c r="G97" s="1">
        <v>186</v>
      </c>
      <c r="H97" s="33" t="s">
        <v>39</v>
      </c>
      <c r="I97" s="1">
        <v>195</v>
      </c>
      <c r="J97" s="1">
        <v>202</v>
      </c>
      <c r="K97" s="1">
        <v>199</v>
      </c>
      <c r="L97" s="1">
        <v>202</v>
      </c>
      <c r="M97" s="1">
        <v>242</v>
      </c>
      <c r="N97" s="1">
        <v>200</v>
      </c>
      <c r="O97" s="1">
        <v>195</v>
      </c>
      <c r="P97" s="1">
        <v>161</v>
      </c>
      <c r="Q97" s="1">
        <v>167</v>
      </c>
      <c r="R97" s="1">
        <v>154</v>
      </c>
      <c r="S97" s="1">
        <v>127</v>
      </c>
      <c r="T97" s="28">
        <v>159</v>
      </c>
      <c r="U97" s="3">
        <v>158</v>
      </c>
      <c r="V97" s="31">
        <v>179</v>
      </c>
      <c r="W97" s="3">
        <v>155</v>
      </c>
      <c r="X97" s="2">
        <v>150</v>
      </c>
      <c r="Y97" s="2">
        <v>146</v>
      </c>
      <c r="Z97" s="2">
        <v>184</v>
      </c>
      <c r="AA97" s="2">
        <v>171</v>
      </c>
      <c r="AB97" s="2">
        <v>178</v>
      </c>
      <c r="AC97" s="2">
        <v>178</v>
      </c>
      <c r="AD97" s="2">
        <v>178</v>
      </c>
    </row>
    <row r="98" spans="1:30" ht="12.75" hidden="1" customHeight="1">
      <c r="A98" s="3" t="s">
        <v>80</v>
      </c>
      <c r="B98" s="26">
        <v>70</v>
      </c>
      <c r="C98" s="27">
        <v>75</v>
      </c>
      <c r="D98" s="1">
        <v>40</v>
      </c>
      <c r="E98" s="1">
        <v>49</v>
      </c>
      <c r="F98" s="1">
        <v>78</v>
      </c>
      <c r="G98" s="1">
        <v>97</v>
      </c>
      <c r="H98" s="1">
        <v>83</v>
      </c>
      <c r="I98" s="1">
        <v>115</v>
      </c>
      <c r="J98" s="1">
        <v>130</v>
      </c>
      <c r="K98" s="1">
        <v>81</v>
      </c>
      <c r="L98" s="1">
        <v>91</v>
      </c>
      <c r="M98" s="2">
        <v>91</v>
      </c>
      <c r="N98" s="1">
        <v>105</v>
      </c>
      <c r="O98" s="1">
        <v>125</v>
      </c>
      <c r="P98" s="1">
        <v>214</v>
      </c>
      <c r="Q98" s="47" t="s">
        <v>39</v>
      </c>
      <c r="R98" s="1">
        <v>147</v>
      </c>
      <c r="S98" s="1">
        <v>118</v>
      </c>
      <c r="T98" s="34">
        <v>102</v>
      </c>
      <c r="U98" s="33" t="s">
        <v>81</v>
      </c>
      <c r="V98" s="34" t="s">
        <v>81</v>
      </c>
      <c r="W98" s="33" t="s">
        <v>81</v>
      </c>
      <c r="X98" s="33" t="s">
        <v>81</v>
      </c>
      <c r="Y98" s="33" t="s">
        <v>81</v>
      </c>
      <c r="Z98" s="33" t="s">
        <v>81</v>
      </c>
      <c r="AA98" s="33" t="s">
        <v>81</v>
      </c>
      <c r="AB98" s="33"/>
      <c r="AC98" s="33"/>
      <c r="AD98" s="33"/>
    </row>
    <row r="99" spans="1:30" ht="12.75" hidden="1" customHeight="1">
      <c r="A99" s="2" t="s">
        <v>82</v>
      </c>
      <c r="B99" s="32" t="s">
        <v>40</v>
      </c>
      <c r="C99" s="37" t="s">
        <v>40</v>
      </c>
      <c r="D99" s="33" t="s">
        <v>40</v>
      </c>
      <c r="E99" s="33" t="s">
        <v>40</v>
      </c>
      <c r="F99" s="33" t="s">
        <v>40</v>
      </c>
      <c r="G99" s="33" t="s">
        <v>40</v>
      </c>
      <c r="H99" s="33" t="s">
        <v>40</v>
      </c>
      <c r="I99" s="33" t="s">
        <v>40</v>
      </c>
      <c r="J99" s="33" t="s">
        <v>40</v>
      </c>
      <c r="K99" s="33" t="s">
        <v>40</v>
      </c>
      <c r="L99" s="33" t="s">
        <v>40</v>
      </c>
      <c r="M99" s="33" t="s">
        <v>40</v>
      </c>
      <c r="N99" s="33" t="s">
        <v>40</v>
      </c>
      <c r="O99" s="1">
        <v>75</v>
      </c>
      <c r="P99" s="33" t="s">
        <v>40</v>
      </c>
      <c r="Q99" s="33" t="s">
        <v>40</v>
      </c>
      <c r="R99" s="33" t="s">
        <v>40</v>
      </c>
      <c r="S99" s="33" t="s">
        <v>40</v>
      </c>
      <c r="T99" s="34" t="s">
        <v>40</v>
      </c>
      <c r="U99" s="33" t="s">
        <v>40</v>
      </c>
      <c r="V99" s="34" t="s">
        <v>40</v>
      </c>
      <c r="W99" s="33" t="s">
        <v>40</v>
      </c>
      <c r="X99" s="33" t="s">
        <v>40</v>
      </c>
      <c r="Y99" s="33" t="s">
        <v>40</v>
      </c>
      <c r="Z99" s="33" t="s">
        <v>40</v>
      </c>
      <c r="AA99" s="33" t="s">
        <v>40</v>
      </c>
      <c r="AB99" s="33"/>
      <c r="AC99" s="33"/>
      <c r="AD99" s="33"/>
    </row>
    <row r="100" spans="1:30" ht="12.75" hidden="1" customHeight="1">
      <c r="A100" s="2" t="s">
        <v>83</v>
      </c>
      <c r="B100" s="4">
        <v>60</v>
      </c>
      <c r="C100" s="24">
        <v>63</v>
      </c>
      <c r="D100" s="2">
        <v>37</v>
      </c>
      <c r="E100" s="2">
        <v>37</v>
      </c>
      <c r="F100" s="2">
        <v>33</v>
      </c>
      <c r="G100" s="2">
        <v>47</v>
      </c>
      <c r="H100" s="2">
        <v>11</v>
      </c>
      <c r="I100" s="33" t="s">
        <v>40</v>
      </c>
      <c r="J100" s="33" t="s">
        <v>40</v>
      </c>
      <c r="K100" s="33" t="s">
        <v>40</v>
      </c>
      <c r="L100" s="33" t="s">
        <v>40</v>
      </c>
      <c r="M100" s="33" t="s">
        <v>40</v>
      </c>
      <c r="N100" s="33" t="s">
        <v>40</v>
      </c>
      <c r="O100" s="33" t="s">
        <v>40</v>
      </c>
      <c r="P100" s="33" t="s">
        <v>40</v>
      </c>
      <c r="Q100" s="33" t="s">
        <v>40</v>
      </c>
      <c r="R100" s="33" t="s">
        <v>40</v>
      </c>
      <c r="S100" s="33" t="s">
        <v>40</v>
      </c>
      <c r="T100" s="34" t="s">
        <v>40</v>
      </c>
      <c r="U100" s="33" t="s">
        <v>40</v>
      </c>
      <c r="V100" s="34" t="s">
        <v>40</v>
      </c>
      <c r="W100" s="33" t="s">
        <v>40</v>
      </c>
      <c r="X100" s="33" t="s">
        <v>40</v>
      </c>
      <c r="Y100" s="33" t="s">
        <v>40</v>
      </c>
      <c r="Z100" s="33" t="s">
        <v>40</v>
      </c>
      <c r="AA100" s="33" t="s">
        <v>40</v>
      </c>
      <c r="AB100" s="33"/>
      <c r="AC100" s="33"/>
      <c r="AD100" s="33"/>
    </row>
    <row r="101" spans="1:30" ht="12.75" customHeight="1">
      <c r="A101" s="3" t="s">
        <v>84</v>
      </c>
      <c r="B101" s="26">
        <v>106</v>
      </c>
      <c r="C101" s="27">
        <v>133</v>
      </c>
      <c r="D101" s="1">
        <v>86</v>
      </c>
      <c r="E101" s="1">
        <v>101</v>
      </c>
      <c r="F101" s="1">
        <v>122</v>
      </c>
      <c r="G101" s="1">
        <v>125</v>
      </c>
      <c r="H101" s="1">
        <v>162</v>
      </c>
      <c r="I101" s="1">
        <v>156</v>
      </c>
      <c r="J101" s="1">
        <v>1</v>
      </c>
      <c r="K101" s="1">
        <v>128</v>
      </c>
      <c r="L101" s="1">
        <v>76</v>
      </c>
      <c r="M101" s="2">
        <v>120</v>
      </c>
      <c r="N101" s="2">
        <v>107</v>
      </c>
      <c r="O101" s="1">
        <v>42</v>
      </c>
      <c r="P101" s="1">
        <v>41</v>
      </c>
      <c r="Q101" s="1">
        <v>55</v>
      </c>
      <c r="R101" s="1">
        <v>82</v>
      </c>
      <c r="S101" s="1">
        <v>70</v>
      </c>
      <c r="T101" s="28">
        <v>60</v>
      </c>
      <c r="U101" s="48">
        <v>62</v>
      </c>
      <c r="V101" s="31">
        <v>45</v>
      </c>
      <c r="W101" s="3">
        <v>78</v>
      </c>
      <c r="X101" s="2">
        <v>54</v>
      </c>
      <c r="Y101" s="2">
        <v>43</v>
      </c>
      <c r="Z101" s="2">
        <v>98</v>
      </c>
      <c r="AA101" s="2">
        <v>107</v>
      </c>
      <c r="AB101" s="2">
        <v>163</v>
      </c>
      <c r="AC101" s="2">
        <v>287</v>
      </c>
      <c r="AD101" s="2">
        <v>287</v>
      </c>
    </row>
    <row r="102" spans="1:30" ht="12.75" customHeight="1">
      <c r="A102" s="2" t="s">
        <v>33</v>
      </c>
      <c r="B102" s="26">
        <f t="shared" ref="B102:AC102" si="5">SUM(B97:B101)</f>
        <v>236</v>
      </c>
      <c r="C102" s="27">
        <f t="shared" si="5"/>
        <v>271</v>
      </c>
      <c r="D102" s="1">
        <f t="shared" si="5"/>
        <v>364</v>
      </c>
      <c r="E102" s="1">
        <f t="shared" si="5"/>
        <v>371</v>
      </c>
      <c r="F102" s="1">
        <f t="shared" si="5"/>
        <v>443</v>
      </c>
      <c r="G102" s="1">
        <f t="shared" si="5"/>
        <v>455</v>
      </c>
      <c r="H102" s="1">
        <f t="shared" si="5"/>
        <v>256</v>
      </c>
      <c r="I102" s="1">
        <f t="shared" si="5"/>
        <v>466</v>
      </c>
      <c r="J102" s="1">
        <f t="shared" si="5"/>
        <v>333</v>
      </c>
      <c r="K102" s="1">
        <f t="shared" si="5"/>
        <v>408</v>
      </c>
      <c r="L102" s="1">
        <f t="shared" si="5"/>
        <v>369</v>
      </c>
      <c r="M102" s="1">
        <f t="shared" si="5"/>
        <v>453</v>
      </c>
      <c r="N102" s="1">
        <f t="shared" si="5"/>
        <v>412</v>
      </c>
      <c r="O102" s="1">
        <f t="shared" si="5"/>
        <v>437</v>
      </c>
      <c r="P102" s="1">
        <f t="shared" si="5"/>
        <v>416</v>
      </c>
      <c r="Q102" s="1">
        <f t="shared" si="5"/>
        <v>222</v>
      </c>
      <c r="R102" s="1">
        <f t="shared" si="5"/>
        <v>383</v>
      </c>
      <c r="S102" s="1">
        <f t="shared" si="5"/>
        <v>315</v>
      </c>
      <c r="T102" s="28">
        <f t="shared" si="5"/>
        <v>321</v>
      </c>
      <c r="U102" s="1">
        <f t="shared" si="5"/>
        <v>220</v>
      </c>
      <c r="V102" s="28">
        <f t="shared" si="5"/>
        <v>224</v>
      </c>
      <c r="W102" s="1">
        <f t="shared" si="5"/>
        <v>233</v>
      </c>
      <c r="X102" s="1">
        <f t="shared" si="5"/>
        <v>204</v>
      </c>
      <c r="Y102" s="1">
        <f t="shared" si="5"/>
        <v>189</v>
      </c>
      <c r="Z102" s="1">
        <f t="shared" si="5"/>
        <v>282</v>
      </c>
      <c r="AA102" s="1">
        <f t="shared" si="5"/>
        <v>278</v>
      </c>
      <c r="AB102" s="1">
        <f t="shared" si="5"/>
        <v>341</v>
      </c>
      <c r="AC102" s="1">
        <f t="shared" si="5"/>
        <v>465</v>
      </c>
      <c r="AD102" s="1">
        <f t="shared" ref="AD102" si="6">SUM(AD97:AD101)</f>
        <v>465</v>
      </c>
    </row>
    <row r="103" spans="1:30" ht="12.75" customHeight="1">
      <c r="B103" s="4"/>
      <c r="C103" s="24"/>
      <c r="K103" s="1"/>
      <c r="L103" s="1"/>
      <c r="N103" s="1"/>
      <c r="O103" s="1"/>
      <c r="P103" s="1"/>
      <c r="Q103" s="1"/>
      <c r="R103" s="1"/>
      <c r="S103" s="1"/>
      <c r="T103" s="28"/>
      <c r="U103" s="1"/>
      <c r="V103" s="28"/>
      <c r="W103" s="1"/>
      <c r="X103" s="1"/>
      <c r="Y103" s="1"/>
      <c r="Z103" s="1"/>
      <c r="AA103" s="1"/>
      <c r="AB103" s="1"/>
      <c r="AC103" s="1"/>
      <c r="AD103" s="1"/>
    </row>
    <row r="104" spans="1:30" ht="25.5" customHeight="1">
      <c r="A104" s="49" t="s">
        <v>85</v>
      </c>
      <c r="B104" s="26">
        <f t="shared" ref="B104:V104" si="7">SUM(B93+B102)</f>
        <v>7060</v>
      </c>
      <c r="C104" s="29">
        <f t="shared" si="7"/>
        <v>6561</v>
      </c>
      <c r="D104" s="26">
        <f t="shared" si="7"/>
        <v>7143</v>
      </c>
      <c r="E104" s="26">
        <f t="shared" si="7"/>
        <v>7489</v>
      </c>
      <c r="F104" s="26">
        <f t="shared" si="7"/>
        <v>7212</v>
      </c>
      <c r="G104" s="26">
        <f t="shared" si="7"/>
        <v>7210</v>
      </c>
      <c r="H104" s="26">
        <f t="shared" si="7"/>
        <v>6790</v>
      </c>
      <c r="I104" s="26">
        <f t="shared" si="7"/>
        <v>7738</v>
      </c>
      <c r="J104" s="26">
        <f t="shared" si="7"/>
        <v>7818</v>
      </c>
      <c r="K104" s="26">
        <f t="shared" si="7"/>
        <v>7918</v>
      </c>
      <c r="L104" s="26">
        <f t="shared" si="7"/>
        <v>6727</v>
      </c>
      <c r="M104" s="26">
        <f t="shared" si="7"/>
        <v>7744</v>
      </c>
      <c r="N104" s="26">
        <f t="shared" si="7"/>
        <v>7618</v>
      </c>
      <c r="O104" s="26">
        <f t="shared" si="7"/>
        <v>7910</v>
      </c>
      <c r="P104" s="26">
        <f t="shared" si="7"/>
        <v>7827</v>
      </c>
      <c r="Q104" s="26">
        <f t="shared" si="7"/>
        <v>7756</v>
      </c>
      <c r="R104" s="26">
        <f t="shared" si="7"/>
        <v>8174</v>
      </c>
      <c r="S104" s="26">
        <f t="shared" si="7"/>
        <v>8843</v>
      </c>
      <c r="T104" s="30">
        <f t="shared" si="7"/>
        <v>8916</v>
      </c>
      <c r="U104" s="26">
        <f t="shared" si="7"/>
        <v>8882</v>
      </c>
      <c r="V104" s="30">
        <f t="shared" si="7"/>
        <v>8488</v>
      </c>
      <c r="W104" s="26">
        <f t="shared" ref="W104:AC104" si="8">SUM(W93+W102)</f>
        <v>8699</v>
      </c>
      <c r="X104" s="26">
        <f t="shared" si="8"/>
        <v>8901</v>
      </c>
      <c r="Y104" s="26">
        <f t="shared" si="8"/>
        <v>9100</v>
      </c>
      <c r="Z104" s="26">
        <f t="shared" si="8"/>
        <v>9248</v>
      </c>
      <c r="AA104" s="26">
        <f t="shared" si="8"/>
        <v>9641</v>
      </c>
      <c r="AB104" s="26">
        <f t="shared" si="8"/>
        <v>9646</v>
      </c>
      <c r="AC104" s="26">
        <f t="shared" si="8"/>
        <v>10240</v>
      </c>
      <c r="AD104" s="26">
        <f t="shared" ref="AD104" si="9">SUM(AD93+AD102)</f>
        <v>10636</v>
      </c>
    </row>
    <row r="105" spans="1:30" ht="12.75" customHeight="1">
      <c r="B105" s="4"/>
      <c r="C105" s="24"/>
      <c r="K105" s="1"/>
      <c r="L105" s="1"/>
      <c r="M105" s="1"/>
      <c r="N105" s="1"/>
      <c r="T105" s="25"/>
      <c r="V105" s="25"/>
    </row>
    <row r="106" spans="1:30" ht="12.75" customHeight="1" thickBot="1">
      <c r="A106" s="50" t="s">
        <v>86</v>
      </c>
      <c r="B106" s="38">
        <f t="shared" ref="B106:W106" si="10">SUM(B53+B104)</f>
        <v>32618</v>
      </c>
      <c r="C106" s="39">
        <f t="shared" si="10"/>
        <v>31582</v>
      </c>
      <c r="D106" s="38">
        <f t="shared" si="10"/>
        <v>31333</v>
      </c>
      <c r="E106" s="38">
        <f t="shared" si="10"/>
        <v>29629</v>
      </c>
      <c r="F106" s="38">
        <f t="shared" si="10"/>
        <v>29542</v>
      </c>
      <c r="G106" s="38">
        <f t="shared" si="10"/>
        <v>27454</v>
      </c>
      <c r="H106" s="38">
        <f t="shared" si="10"/>
        <v>28618</v>
      </c>
      <c r="I106" s="38">
        <f t="shared" si="10"/>
        <v>31476</v>
      </c>
      <c r="J106" s="38">
        <f t="shared" si="10"/>
        <v>32373</v>
      </c>
      <c r="K106" s="38">
        <f t="shared" si="10"/>
        <v>31079</v>
      </c>
      <c r="L106" s="38">
        <f t="shared" si="10"/>
        <v>29252</v>
      </c>
      <c r="M106" s="38">
        <f t="shared" si="10"/>
        <v>29696</v>
      </c>
      <c r="N106" s="38">
        <f t="shared" si="10"/>
        <v>28992</v>
      </c>
      <c r="O106" s="38">
        <f t="shared" si="10"/>
        <v>29174</v>
      </c>
      <c r="P106" s="38">
        <f t="shared" si="10"/>
        <v>29559</v>
      </c>
      <c r="Q106" s="38">
        <f t="shared" si="10"/>
        <v>29552</v>
      </c>
      <c r="R106" s="38">
        <f t="shared" si="10"/>
        <v>30201</v>
      </c>
      <c r="S106" s="38">
        <f t="shared" si="10"/>
        <v>32417</v>
      </c>
      <c r="T106" s="40">
        <f t="shared" si="10"/>
        <v>33151</v>
      </c>
      <c r="U106" s="38">
        <f t="shared" si="10"/>
        <v>33558</v>
      </c>
      <c r="V106" s="40">
        <f t="shared" si="10"/>
        <v>34882</v>
      </c>
      <c r="W106" s="38">
        <f t="shared" si="10"/>
        <v>36356</v>
      </c>
      <c r="X106" s="38">
        <f t="shared" ref="X106:AC106" si="11">SUM(X53+X104)</f>
        <v>37624</v>
      </c>
      <c r="Y106" s="38">
        <f t="shared" si="11"/>
        <v>37894</v>
      </c>
      <c r="Z106" s="38">
        <f t="shared" si="11"/>
        <v>39523</v>
      </c>
      <c r="AA106" s="38">
        <f t="shared" si="11"/>
        <v>41318</v>
      </c>
      <c r="AB106" s="38">
        <f t="shared" si="11"/>
        <v>42434</v>
      </c>
      <c r="AC106" s="38">
        <f t="shared" si="11"/>
        <v>43332</v>
      </c>
      <c r="AD106" s="38">
        <f t="shared" ref="AD106" si="12">SUM(AD53+AD104)</f>
        <v>46632</v>
      </c>
    </row>
    <row r="107" spans="1:30" ht="12.75" customHeight="1" thickTop="1">
      <c r="A107" s="2" t="s">
        <v>50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30" ht="12.75" customHeight="1">
      <c r="A108" s="3" t="s">
        <v>87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30" ht="12.75" customHeight="1">
      <c r="A109" s="3" t="s">
        <v>52</v>
      </c>
      <c r="N109" s="1"/>
    </row>
    <row r="110" spans="1:30" ht="12.75" customHeight="1">
      <c r="N110" s="1"/>
    </row>
    <row r="111" spans="1:30" ht="12.75" customHeight="1">
      <c r="N111" s="1"/>
    </row>
    <row r="112" spans="1:30" ht="12.75" customHeight="1">
      <c r="N112" s="1"/>
    </row>
    <row r="113" spans="14:14" ht="12.75" customHeight="1">
      <c r="N113" s="1"/>
    </row>
    <row r="114" spans="14:14" ht="12.75" customHeight="1">
      <c r="N114" s="1"/>
    </row>
    <row r="115" spans="14:14" ht="12.75" customHeight="1">
      <c r="N115" s="1"/>
    </row>
    <row r="116" spans="14:14" ht="12.75" customHeight="1">
      <c r="N116" s="1"/>
    </row>
    <row r="117" spans="14:14" ht="12.75" customHeight="1">
      <c r="N117" s="1"/>
    </row>
    <row r="118" spans="14:14" ht="12.75" customHeight="1">
      <c r="N118" s="1"/>
    </row>
    <row r="119" spans="14:14" ht="12.75" customHeight="1">
      <c r="N119" s="1"/>
    </row>
    <row r="120" spans="14:14" ht="12.75" customHeight="1">
      <c r="N120" s="1"/>
    </row>
    <row r="121" spans="14:14" ht="12.75" customHeight="1">
      <c r="N121" s="1"/>
    </row>
    <row r="122" spans="14:14" ht="12.75" customHeight="1">
      <c r="N122" s="1"/>
    </row>
    <row r="123" spans="14:14" ht="12.75" customHeight="1">
      <c r="N123" s="1"/>
    </row>
    <row r="124" spans="14:14" ht="12.75" customHeight="1">
      <c r="N124" s="1"/>
    </row>
    <row r="125" spans="14:14" ht="12.75" customHeight="1">
      <c r="N125" s="1"/>
    </row>
    <row r="126" spans="14:14" ht="12.75" customHeight="1">
      <c r="N126" s="1"/>
    </row>
    <row r="127" spans="14:14" ht="12.75" customHeight="1">
      <c r="N127" s="1"/>
    </row>
    <row r="128" spans="14:14" ht="12.75" customHeight="1">
      <c r="N128" s="1"/>
    </row>
    <row r="129" spans="14:14" ht="12.75" customHeight="1">
      <c r="N129" s="1"/>
    </row>
    <row r="130" spans="14:14" ht="12.75" customHeight="1">
      <c r="N130" s="1"/>
    </row>
    <row r="131" spans="14:14" ht="12.75" customHeight="1">
      <c r="N131" s="1"/>
    </row>
    <row r="132" spans="14:14" ht="12.75" customHeight="1">
      <c r="N132" s="1"/>
    </row>
    <row r="133" spans="14:14" ht="12.75" customHeight="1">
      <c r="N133" s="1"/>
    </row>
    <row r="134" spans="14:14" ht="12.75" customHeight="1">
      <c r="N134" s="1"/>
    </row>
    <row r="135" spans="14:14" ht="12.75" customHeight="1">
      <c r="N135" s="1"/>
    </row>
    <row r="136" spans="14:14" ht="12.75" customHeight="1">
      <c r="N136" s="1"/>
    </row>
    <row r="137" spans="14:14" ht="12.75" customHeight="1">
      <c r="N137" s="1"/>
    </row>
    <row r="138" spans="14:14" ht="12.75" customHeight="1">
      <c r="N138" s="1"/>
    </row>
    <row r="139" spans="14:14" ht="12.75" customHeight="1">
      <c r="N139" s="1"/>
    </row>
    <row r="140" spans="14:14" ht="12.75" customHeight="1">
      <c r="N140" s="1"/>
    </row>
    <row r="141" spans="14:14" ht="12.75" customHeight="1">
      <c r="N141" s="1"/>
    </row>
    <row r="142" spans="14:14" ht="12.75" customHeight="1">
      <c r="N142" s="1"/>
    </row>
    <row r="143" spans="14:14" ht="12.75" customHeight="1">
      <c r="N143" s="1"/>
    </row>
    <row r="144" spans="14:14" ht="12.75" customHeight="1">
      <c r="N144" s="1"/>
    </row>
    <row r="145" spans="14:14" ht="12.75" customHeight="1">
      <c r="N145" s="1"/>
    </row>
    <row r="146" spans="14:14" ht="12.75" customHeight="1">
      <c r="N146" s="1"/>
    </row>
    <row r="147" spans="14:14" ht="12.75" customHeight="1">
      <c r="N147" s="1"/>
    </row>
    <row r="148" spans="14:14" ht="12.75" customHeight="1">
      <c r="N148" s="1"/>
    </row>
    <row r="149" spans="14:14" ht="12.75" customHeight="1">
      <c r="N149" s="1"/>
    </row>
    <row r="150" spans="14:14" ht="12.75" customHeight="1">
      <c r="N150" s="1"/>
    </row>
    <row r="151" spans="14:14" ht="12.75" customHeight="1">
      <c r="N151" s="1"/>
    </row>
    <row r="152" spans="14:14" ht="12.75" customHeight="1">
      <c r="N152" s="1"/>
    </row>
    <row r="153" spans="14:14" ht="12.75" customHeight="1">
      <c r="N153" s="1"/>
    </row>
    <row r="154" spans="14:14" ht="12.75" customHeight="1">
      <c r="N154" s="1"/>
    </row>
    <row r="155" spans="14:14" ht="12.75" customHeight="1">
      <c r="N155" s="1"/>
    </row>
    <row r="156" spans="14:14" ht="12.75" customHeight="1">
      <c r="N156" s="1"/>
    </row>
    <row r="157" spans="14:14" ht="12.75" customHeight="1"/>
    <row r="158" spans="14:14" ht="12.75" customHeight="1"/>
    <row r="159" spans="14:14" ht="12.75" customHeight="1"/>
    <row r="160" spans="14:14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phoneticPr fontId="0" type="noConversion"/>
  <pageMargins left="1.99" right="0.3" top="1" bottom="1" header="0.5" footer="0.5"/>
  <pageSetup scale="83" orientation="portrait" r:id="rId1"/>
  <headerFooter alignWithMargins="0"/>
  <rowBreaks count="1" manualBreakCount="1">
    <brk id="5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47 - Trend in FTFT Freshm</vt:lpstr>
      <vt:lpstr>'Table 47 - Trend in FTFT Freshm'!Print_Area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dferlazz</cp:lastModifiedBy>
  <cp:lastPrinted>2010-03-09T21:37:17Z</cp:lastPrinted>
  <dcterms:created xsi:type="dcterms:W3CDTF">2003-06-16T22:20:29Z</dcterms:created>
  <dcterms:modified xsi:type="dcterms:W3CDTF">2010-08-23T18:11:36Z</dcterms:modified>
</cp:coreProperties>
</file>